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N:\reforecast 2019\"/>
    </mc:Choice>
  </mc:AlternateContent>
  <xr:revisionPtr revIDLastSave="0" documentId="8_{6A453C92-1FFE-41E5-9CA8-C0634E0E43C0}" xr6:coauthVersionLast="36" xr6:coauthVersionMax="36" xr10:uidLastSave="{00000000-0000-0000-0000-000000000000}"/>
  <bookViews>
    <workbookView xWindow="0" yWindow="45" windowWidth="15960" windowHeight="18075" activeTab="1" xr2:uid="{00000000-000D-0000-FFFF-FFFF00000000}"/>
  </bookViews>
  <sheets>
    <sheet name="Summary" sheetId="1" r:id="rId1"/>
    <sheet name="Revenues" sheetId="2" r:id="rId2"/>
    <sheet name="Executive Committee" sheetId="3" r:id="rId3"/>
    <sheet name="Student Government" sheetId="4" r:id="rId4"/>
    <sheet name="Student Services" sheetId="5" r:id="rId5"/>
    <sheet name="AMS Events" sheetId="6" r:id="rId6"/>
    <sheet name="Ancillary Services" sheetId="9" r:id="rId7"/>
  </sheets>
  <externalReferences>
    <externalReference r:id="rId8"/>
  </externalReferences>
  <calcPr calcId="191029"/>
</workbook>
</file>

<file path=xl/calcChain.xml><?xml version="1.0" encoding="utf-8"?>
<calcChain xmlns="http://schemas.openxmlformats.org/spreadsheetml/2006/main">
  <c r="C37" i="1" l="1"/>
  <c r="C39" i="1" s="1"/>
  <c r="C35" i="1"/>
  <c r="R46" i="1"/>
  <c r="R41" i="1"/>
  <c r="R40" i="1"/>
  <c r="R39" i="1"/>
  <c r="R37" i="1"/>
  <c r="R33" i="1"/>
  <c r="R32" i="1"/>
  <c r="R31" i="1"/>
  <c r="R30" i="1"/>
  <c r="R29" i="1"/>
  <c r="R27" i="1"/>
  <c r="R26" i="1"/>
  <c r="R25" i="1"/>
  <c r="R24" i="1"/>
  <c r="R23" i="1"/>
  <c r="R34" i="1" s="1"/>
  <c r="R19" i="1"/>
  <c r="R18" i="1"/>
  <c r="R17" i="1"/>
  <c r="R16" i="1"/>
  <c r="R9" i="1"/>
  <c r="D84" i="9"/>
  <c r="D78" i="9"/>
  <c r="D60" i="9"/>
  <c r="D83" i="9" s="1"/>
  <c r="D49" i="9"/>
  <c r="D82" i="9" s="1"/>
  <c r="D21" i="9"/>
  <c r="D81" i="9" s="1"/>
  <c r="D123" i="6"/>
  <c r="D118" i="6"/>
  <c r="D98" i="6"/>
  <c r="D122" i="6" s="1"/>
  <c r="D69" i="6"/>
  <c r="D121" i="6" s="1"/>
  <c r="R43" i="1" s="1"/>
  <c r="R44" i="1" s="1"/>
  <c r="D44" i="6"/>
  <c r="D120" i="6" s="1"/>
  <c r="D220" i="5"/>
  <c r="D232" i="5" s="1"/>
  <c r="D243" i="5" s="1"/>
  <c r="D217" i="5"/>
  <c r="D242" i="5" s="1"/>
  <c r="D206" i="5"/>
  <c r="D203" i="5"/>
  <c r="D241" i="5" s="1"/>
  <c r="D171" i="5"/>
  <c r="D182" i="5" s="1"/>
  <c r="D240" i="5" s="1"/>
  <c r="D154" i="5"/>
  <c r="D168" i="5" s="1"/>
  <c r="D239" i="5" s="1"/>
  <c r="D134" i="5"/>
  <c r="D150" i="5" s="1"/>
  <c r="D238" i="5" s="1"/>
  <c r="D123" i="5"/>
  <c r="D131" i="5" s="1"/>
  <c r="D237" i="5" s="1"/>
  <c r="D120" i="5"/>
  <c r="D236" i="5" s="1"/>
  <c r="D82" i="5"/>
  <c r="D71" i="5"/>
  <c r="D56" i="5"/>
  <c r="D41" i="5"/>
  <c r="D91" i="5" s="1"/>
  <c r="D235" i="5" s="1"/>
  <c r="D5" i="5"/>
  <c r="D20" i="5" s="1"/>
  <c r="D234" i="5" s="1"/>
  <c r="D88" i="4"/>
  <c r="D78" i="4"/>
  <c r="D86" i="4" s="1"/>
  <c r="D62" i="4"/>
  <c r="D75" i="4" s="1"/>
  <c r="D90" i="4" s="1"/>
  <c r="D92" i="4" s="1"/>
  <c r="D59" i="4"/>
  <c r="D89" i="4" s="1"/>
  <c r="D91" i="4" s="1"/>
  <c r="D48" i="4"/>
  <c r="D45" i="4"/>
  <c r="D246" i="3"/>
  <c r="D253" i="3" s="1"/>
  <c r="R15" i="1" s="1"/>
  <c r="D231" i="3"/>
  <c r="D216" i="3"/>
  <c r="D252" i="3" s="1"/>
  <c r="R14" i="1" s="1"/>
  <c r="D163" i="3"/>
  <c r="D251" i="3" s="1"/>
  <c r="R13" i="1" s="1"/>
  <c r="D77" i="3"/>
  <c r="D93" i="3" s="1"/>
  <c r="D250" i="3" s="1"/>
  <c r="R12" i="1" s="1"/>
  <c r="D32" i="3"/>
  <c r="D61" i="3" s="1"/>
  <c r="D249" i="3" s="1"/>
  <c r="R11" i="1" s="1"/>
  <c r="D19" i="3"/>
  <c r="D248" i="3" s="1"/>
  <c r="C88" i="1"/>
  <c r="C57" i="1"/>
  <c r="C52" i="1"/>
  <c r="C50" i="1"/>
  <c r="C45" i="1"/>
  <c r="C42" i="1"/>
  <c r="C28" i="1"/>
  <c r="C26" i="1"/>
  <c r="C44" i="1" s="1"/>
  <c r="C35" i="2"/>
  <c r="C30" i="2"/>
  <c r="D25" i="2"/>
  <c r="D7" i="2"/>
  <c r="C10" i="1" s="1"/>
  <c r="C46" i="1" s="1"/>
  <c r="D8" i="2"/>
  <c r="C11" i="1" s="1"/>
  <c r="C56" i="1" s="1"/>
  <c r="D9" i="2"/>
  <c r="C12" i="1" s="1"/>
  <c r="C51" i="1" s="1"/>
  <c r="D10" i="2"/>
  <c r="C13" i="1" s="1"/>
  <c r="C48" i="1" s="1"/>
  <c r="D11" i="2"/>
  <c r="C14" i="1" s="1"/>
  <c r="C55" i="1" s="1"/>
  <c r="D12" i="2"/>
  <c r="C15" i="1" s="1"/>
  <c r="C59" i="1" s="1"/>
  <c r="D13" i="2"/>
  <c r="C16" i="1" s="1"/>
  <c r="C53" i="1" s="1"/>
  <c r="D14" i="2"/>
  <c r="C17" i="1" s="1"/>
  <c r="C54" i="1" s="1"/>
  <c r="D15" i="2"/>
  <c r="C18" i="1" s="1"/>
  <c r="C60" i="1" s="1"/>
  <c r="D16" i="2"/>
  <c r="C19" i="1" s="1"/>
  <c r="C61" i="1" s="1"/>
  <c r="D17" i="2"/>
  <c r="C20" i="1" s="1"/>
  <c r="C67" i="1" s="1"/>
  <c r="D18" i="2"/>
  <c r="C21" i="1" s="1"/>
  <c r="C49" i="1" s="1"/>
  <c r="D19" i="2"/>
  <c r="C22" i="1" s="1"/>
  <c r="C62" i="1" s="1"/>
  <c r="D20" i="2"/>
  <c r="C23" i="1" s="1"/>
  <c r="C47" i="1" s="1"/>
  <c r="D21" i="2"/>
  <c r="C24" i="1" s="1"/>
  <c r="C58" i="1" s="1"/>
  <c r="D22" i="2"/>
  <c r="C25" i="1" s="1"/>
  <c r="C66" i="1" s="1"/>
  <c r="D23" i="2"/>
  <c r="D24" i="2"/>
  <c r="C27" i="1" s="1"/>
  <c r="C43" i="1" s="1"/>
  <c r="D26" i="2"/>
  <c r="C29" i="1" s="1"/>
  <c r="C63" i="1" s="1"/>
  <c r="D27" i="2"/>
  <c r="C30" i="1" s="1"/>
  <c r="C64" i="1" s="1"/>
  <c r="D28" i="2"/>
  <c r="C31" i="1" s="1"/>
  <c r="C65" i="1" s="1"/>
  <c r="D6" i="2"/>
  <c r="C9" i="1" s="1"/>
  <c r="D124" i="6" l="1"/>
  <c r="C32" i="1"/>
  <c r="C71" i="1"/>
  <c r="D85" i="9"/>
  <c r="D244" i="5"/>
  <c r="D254" i="3"/>
  <c r="R10" i="1"/>
  <c r="R20" i="1"/>
  <c r="R48" i="1" s="1"/>
  <c r="R6" i="1" s="1"/>
  <c r="C90" i="1" l="1"/>
  <c r="C92" i="1"/>
  <c r="C5" i="1" s="1"/>
  <c r="C4" i="1" s="1"/>
  <c r="I33" i="2" l="1"/>
  <c r="I34" i="2"/>
  <c r="K36" i="1" l="1"/>
  <c r="K35" i="1"/>
  <c r="I85" i="9" l="1"/>
  <c r="F83" i="9"/>
  <c r="T19" i="1" s="1"/>
  <c r="J81" i="9"/>
  <c r="J85" i="9" s="1"/>
  <c r="H81" i="9"/>
  <c r="L78" i="9"/>
  <c r="L84" i="9" s="1"/>
  <c r="J78" i="9"/>
  <c r="J84" i="9" s="1"/>
  <c r="I78" i="9"/>
  <c r="H78" i="9"/>
  <c r="H84" i="9" s="1"/>
  <c r="G78" i="9"/>
  <c r="G84" i="9" s="1"/>
  <c r="F78" i="9"/>
  <c r="F84" i="9" s="1"/>
  <c r="T17" i="1" s="1"/>
  <c r="E78" i="9"/>
  <c r="E84" i="9" s="1"/>
  <c r="S17" i="1" s="1"/>
  <c r="L60" i="9"/>
  <c r="L83" i="9" s="1"/>
  <c r="J60" i="9"/>
  <c r="J83" i="9" s="1"/>
  <c r="I60" i="9"/>
  <c r="H60" i="9"/>
  <c r="H83" i="9" s="1"/>
  <c r="F60" i="9"/>
  <c r="E60" i="9"/>
  <c r="E83" i="9" s="1"/>
  <c r="S19" i="1" s="1"/>
  <c r="G52" i="9"/>
  <c r="G60" i="9" s="1"/>
  <c r="G83" i="9" s="1"/>
  <c r="F52" i="9"/>
  <c r="L49" i="9"/>
  <c r="L82" i="9" s="1"/>
  <c r="J49" i="9"/>
  <c r="J82" i="9" s="1"/>
  <c r="I49" i="9"/>
  <c r="H49" i="9"/>
  <c r="H82" i="9" s="1"/>
  <c r="G49" i="9"/>
  <c r="F49" i="9"/>
  <c r="F82" i="9" s="1"/>
  <c r="E49" i="9"/>
  <c r="E82" i="9" s="1"/>
  <c r="J21" i="9"/>
  <c r="I21" i="9"/>
  <c r="H21" i="9"/>
  <c r="G21" i="9"/>
  <c r="G81" i="9" s="1"/>
  <c r="F21" i="9"/>
  <c r="E21" i="9"/>
  <c r="L6" i="9"/>
  <c r="L21" i="9" s="1"/>
  <c r="L81" i="9" s="1"/>
  <c r="F123" i="6"/>
  <c r="E123" i="6"/>
  <c r="S40" i="1" s="1"/>
  <c r="L122" i="6"/>
  <c r="E122" i="6"/>
  <c r="H120" i="6"/>
  <c r="J118" i="6"/>
  <c r="J123" i="6" s="1"/>
  <c r="I118" i="6"/>
  <c r="I123" i="6" s="1"/>
  <c r="Z40" i="1" s="1"/>
  <c r="H118" i="6"/>
  <c r="H123" i="6" s="1"/>
  <c r="G118" i="6"/>
  <c r="G123" i="6" s="1"/>
  <c r="F118" i="6"/>
  <c r="E118" i="6"/>
  <c r="L108" i="6"/>
  <c r="L101" i="6"/>
  <c r="L118" i="6" s="1"/>
  <c r="L123" i="6" s="1"/>
  <c r="K101" i="6"/>
  <c r="K118" i="6" s="1"/>
  <c r="J98" i="6"/>
  <c r="J122" i="6" s="1"/>
  <c r="I98" i="6"/>
  <c r="I122" i="6" s="1"/>
  <c r="Z41" i="1" s="1"/>
  <c r="H98" i="6"/>
  <c r="H122" i="6" s="1"/>
  <c r="E98" i="6"/>
  <c r="G86" i="6"/>
  <c r="G98" i="6" s="1"/>
  <c r="G122" i="6" s="1"/>
  <c r="F86" i="6"/>
  <c r="F98" i="6" s="1"/>
  <c r="F122" i="6" s="1"/>
  <c r="L69" i="6"/>
  <c r="L121" i="6" s="1"/>
  <c r="J69" i="6"/>
  <c r="J121" i="6" s="1"/>
  <c r="I69" i="6"/>
  <c r="I121" i="6" s="1"/>
  <c r="Z43" i="1" s="1"/>
  <c r="H69" i="6"/>
  <c r="H121" i="6" s="1"/>
  <c r="G69" i="6"/>
  <c r="G121" i="6" s="1"/>
  <c r="F69" i="6"/>
  <c r="F121" i="6" s="1"/>
  <c r="E69" i="6"/>
  <c r="E121" i="6" s="1"/>
  <c r="L44" i="6"/>
  <c r="L120" i="6" s="1"/>
  <c r="J44" i="6"/>
  <c r="J120" i="6" s="1"/>
  <c r="I44" i="6"/>
  <c r="I120" i="6" s="1"/>
  <c r="Z39" i="1" s="1"/>
  <c r="H44" i="6"/>
  <c r="G44" i="6"/>
  <c r="G120" i="6" s="1"/>
  <c r="F44" i="6"/>
  <c r="F120" i="6" s="1"/>
  <c r="E44" i="6"/>
  <c r="E120" i="6" s="1"/>
  <c r="G243" i="5"/>
  <c r="U31" i="1" s="1"/>
  <c r="F242" i="5"/>
  <c r="T30" i="1" s="1"/>
  <c r="J241" i="5"/>
  <c r="Z33" i="1" s="1"/>
  <c r="E236" i="5"/>
  <c r="S25" i="1" s="1"/>
  <c r="K235" i="5"/>
  <c r="L234" i="5"/>
  <c r="K234" i="5"/>
  <c r="K244" i="5" s="1"/>
  <c r="J232" i="5"/>
  <c r="J243" i="5" s="1"/>
  <c r="Z31" i="1" s="1"/>
  <c r="I232" i="5"/>
  <c r="H232" i="5"/>
  <c r="H243" i="5" s="1"/>
  <c r="G232" i="5"/>
  <c r="F232" i="5"/>
  <c r="F243" i="5" s="1"/>
  <c r="T31" i="1" s="1"/>
  <c r="E220" i="5"/>
  <c r="E232" i="5" s="1"/>
  <c r="E243" i="5" s="1"/>
  <c r="S31" i="1" s="1"/>
  <c r="J217" i="5"/>
  <c r="J242" i="5" s="1"/>
  <c r="Z30" i="1" s="1"/>
  <c r="I217" i="5"/>
  <c r="H217" i="5"/>
  <c r="H242" i="5" s="1"/>
  <c r="G217" i="5"/>
  <c r="G242" i="5" s="1"/>
  <c r="F217" i="5"/>
  <c r="E206" i="5"/>
  <c r="E217" i="5" s="1"/>
  <c r="E242" i="5" s="1"/>
  <c r="S30" i="1" s="1"/>
  <c r="J203" i="5"/>
  <c r="I203" i="5"/>
  <c r="H203" i="5"/>
  <c r="G203" i="5"/>
  <c r="G241" i="5" s="1"/>
  <c r="U33" i="1" s="1"/>
  <c r="E203" i="5"/>
  <c r="E241" i="5" s="1"/>
  <c r="G186" i="5"/>
  <c r="F186" i="5"/>
  <c r="F203" i="5" s="1"/>
  <c r="F241" i="5" s="1"/>
  <c r="T33" i="1" s="1"/>
  <c r="J182" i="5"/>
  <c r="J240" i="5" s="1"/>
  <c r="I182" i="5"/>
  <c r="H182" i="5"/>
  <c r="G182" i="5"/>
  <c r="G240" i="5" s="1"/>
  <c r="U32" i="1" s="1"/>
  <c r="F182" i="5"/>
  <c r="F240" i="5" s="1"/>
  <c r="T32" i="1" s="1"/>
  <c r="E182" i="5"/>
  <c r="E240" i="5" s="1"/>
  <c r="E171" i="5"/>
  <c r="J168" i="5"/>
  <c r="J239" i="5" s="1"/>
  <c r="Z29" i="1" s="1"/>
  <c r="I168" i="5"/>
  <c r="H168" i="5"/>
  <c r="G168" i="5"/>
  <c r="G239" i="5" s="1"/>
  <c r="U29" i="1" s="1"/>
  <c r="F168" i="5"/>
  <c r="F239" i="5" s="1"/>
  <c r="E168" i="5"/>
  <c r="E239" i="5" s="1"/>
  <c r="E154" i="5"/>
  <c r="J150" i="5"/>
  <c r="J238" i="5" s="1"/>
  <c r="I150" i="5"/>
  <c r="H150" i="5"/>
  <c r="G150" i="5"/>
  <c r="G238" i="5" s="1"/>
  <c r="F150" i="5"/>
  <c r="F238" i="5" s="1"/>
  <c r="T27" i="1" s="1"/>
  <c r="E134" i="5"/>
  <c r="E150" i="5" s="1"/>
  <c r="E238" i="5" s="1"/>
  <c r="J131" i="5"/>
  <c r="J237" i="5" s="1"/>
  <c r="Z26" i="1" s="1"/>
  <c r="I131" i="5"/>
  <c r="H131" i="5"/>
  <c r="G131" i="5"/>
  <c r="G237" i="5" s="1"/>
  <c r="U26" i="1" s="1"/>
  <c r="F131" i="5"/>
  <c r="F237" i="5" s="1"/>
  <c r="E123" i="5"/>
  <c r="E131" i="5" s="1"/>
  <c r="E237" i="5" s="1"/>
  <c r="S26" i="1" s="1"/>
  <c r="J120" i="5"/>
  <c r="J236" i="5" s="1"/>
  <c r="Z25" i="1" s="1"/>
  <c r="I120" i="5"/>
  <c r="I236" i="5" s="1"/>
  <c r="I244" i="5" s="1"/>
  <c r="H120" i="5"/>
  <c r="H236" i="5" s="1"/>
  <c r="H244" i="5" s="1"/>
  <c r="E120" i="5"/>
  <c r="G101" i="5"/>
  <c r="G120" i="5" s="1"/>
  <c r="G236" i="5" s="1"/>
  <c r="U25" i="1" s="1"/>
  <c r="F101" i="5"/>
  <c r="F120" i="5" s="1"/>
  <c r="F236" i="5" s="1"/>
  <c r="T25" i="1" s="1"/>
  <c r="L82" i="5"/>
  <c r="K82" i="5"/>
  <c r="J82" i="5"/>
  <c r="I82" i="5"/>
  <c r="H82" i="5"/>
  <c r="G82" i="5"/>
  <c r="F82" i="5"/>
  <c r="E82" i="5"/>
  <c r="K71" i="5"/>
  <c r="J71" i="5"/>
  <c r="I71" i="5"/>
  <c r="H71" i="5"/>
  <c r="E71" i="5"/>
  <c r="L70" i="5"/>
  <c r="L71" i="5" s="1"/>
  <c r="F60" i="5"/>
  <c r="G59" i="5"/>
  <c r="F59" i="5"/>
  <c r="L56" i="5"/>
  <c r="K56" i="5"/>
  <c r="J56" i="5"/>
  <c r="I56" i="5"/>
  <c r="H56" i="5"/>
  <c r="G56" i="5"/>
  <c r="E56" i="5"/>
  <c r="G44" i="5"/>
  <c r="F44" i="5"/>
  <c r="F56" i="5" s="1"/>
  <c r="K41" i="5"/>
  <c r="J41" i="5"/>
  <c r="J91" i="5" s="1"/>
  <c r="J235" i="5" s="1"/>
  <c r="I41" i="5"/>
  <c r="H41" i="5"/>
  <c r="H91" i="5" s="1"/>
  <c r="E41" i="5"/>
  <c r="E91" i="5" s="1"/>
  <c r="L32" i="5"/>
  <c r="L41" i="5" s="1"/>
  <c r="G22" i="5"/>
  <c r="F22" i="5"/>
  <c r="F23" i="5" s="1"/>
  <c r="L20" i="5"/>
  <c r="J20" i="5"/>
  <c r="J234" i="5" s="1"/>
  <c r="E20" i="5"/>
  <c r="E234" i="5" s="1"/>
  <c r="S23" i="1" s="1"/>
  <c r="G5" i="5"/>
  <c r="E5" i="5"/>
  <c r="G4" i="5"/>
  <c r="F4" i="5"/>
  <c r="F5" i="5" s="1"/>
  <c r="F20" i="5" s="1"/>
  <c r="F234" i="5" s="1"/>
  <c r="L86" i="4"/>
  <c r="K86" i="4"/>
  <c r="K90" i="4" s="1"/>
  <c r="J86" i="4"/>
  <c r="I86" i="4"/>
  <c r="H86" i="4"/>
  <c r="G86" i="4"/>
  <c r="F86" i="4"/>
  <c r="E78" i="4"/>
  <c r="E86" i="4" s="1"/>
  <c r="L75" i="4"/>
  <c r="L90" i="4" s="1"/>
  <c r="K75" i="4"/>
  <c r="J75" i="4"/>
  <c r="J90" i="4" s="1"/>
  <c r="Z18" i="1" s="1"/>
  <c r="I75" i="4"/>
  <c r="I90" i="4" s="1"/>
  <c r="H75" i="4"/>
  <c r="H90" i="4" s="1"/>
  <c r="G75" i="4"/>
  <c r="G90" i="4" s="1"/>
  <c r="F75" i="4"/>
  <c r="F90" i="4" s="1"/>
  <c r="E62" i="4"/>
  <c r="E75" i="4" s="1"/>
  <c r="E90" i="4" s="1"/>
  <c r="L59" i="4"/>
  <c r="L89" i="4" s="1"/>
  <c r="K59" i="4"/>
  <c r="K89" i="4" s="1"/>
  <c r="J59" i="4"/>
  <c r="J89" i="4" s="1"/>
  <c r="Z16" i="1" s="1"/>
  <c r="I59" i="4"/>
  <c r="I89" i="4" s="1"/>
  <c r="H59" i="4"/>
  <c r="H89" i="4" s="1"/>
  <c r="E59" i="4"/>
  <c r="E89" i="4" s="1"/>
  <c r="G48" i="4"/>
  <c r="G59" i="4" s="1"/>
  <c r="G89" i="4" s="1"/>
  <c r="F48" i="4"/>
  <c r="F59" i="4" s="1"/>
  <c r="F89" i="4" s="1"/>
  <c r="E48" i="4"/>
  <c r="L45" i="4"/>
  <c r="L88" i="4" s="1"/>
  <c r="K45" i="4"/>
  <c r="K88" i="4" s="1"/>
  <c r="Z9" i="1" s="1"/>
  <c r="J45" i="4"/>
  <c r="J88" i="4" s="1"/>
  <c r="I45" i="4"/>
  <c r="I88" i="4" s="1"/>
  <c r="H45" i="4"/>
  <c r="E45" i="4"/>
  <c r="E88" i="4" s="1"/>
  <c r="G36" i="4"/>
  <c r="F36" i="4"/>
  <c r="G28" i="4"/>
  <c r="F28" i="4"/>
  <c r="G26" i="4"/>
  <c r="F26" i="4"/>
  <c r="G24" i="4"/>
  <c r="F24" i="4"/>
  <c r="F45" i="4" s="1"/>
  <c r="F88" i="4" s="1"/>
  <c r="K251" i="3"/>
  <c r="Z13" i="1" s="1"/>
  <c r="E251" i="3"/>
  <c r="K249" i="3"/>
  <c r="Z11" i="1" s="1"/>
  <c r="M246" i="3"/>
  <c r="K246" i="3"/>
  <c r="K253" i="3" s="1"/>
  <c r="J246" i="3"/>
  <c r="J253" i="3" s="1"/>
  <c r="I246" i="3"/>
  <c r="I253" i="3" s="1"/>
  <c r="H246" i="3"/>
  <c r="H253" i="3" s="1"/>
  <c r="G246" i="3"/>
  <c r="G253" i="3" s="1"/>
  <c r="G231" i="3"/>
  <c r="F231" i="3"/>
  <c r="F246" i="3" s="1"/>
  <c r="F253" i="3" s="1"/>
  <c r="T15" i="1" s="1"/>
  <c r="E231" i="3"/>
  <c r="E246" i="3" s="1"/>
  <c r="E253" i="3" s="1"/>
  <c r="K216" i="3"/>
  <c r="K252" i="3" s="1"/>
  <c r="Z14" i="1" s="1"/>
  <c r="J216" i="3"/>
  <c r="J252" i="3" s="1"/>
  <c r="I216" i="3"/>
  <c r="I252" i="3" s="1"/>
  <c r="H216" i="3"/>
  <c r="H252" i="3" s="1"/>
  <c r="E216" i="3"/>
  <c r="E252" i="3" s="1"/>
  <c r="S14" i="1" s="1"/>
  <c r="G187" i="3"/>
  <c r="F187" i="3"/>
  <c r="M178" i="3"/>
  <c r="M216" i="3" s="1"/>
  <c r="G178" i="3"/>
  <c r="G216" i="3" s="1"/>
  <c r="G252" i="3" s="1"/>
  <c r="F178" i="3"/>
  <c r="K163" i="3"/>
  <c r="J163" i="3"/>
  <c r="J251" i="3" s="1"/>
  <c r="I163" i="3"/>
  <c r="I251" i="3" s="1"/>
  <c r="H163" i="3"/>
  <c r="H251" i="3" s="1"/>
  <c r="E163" i="3"/>
  <c r="M148" i="3"/>
  <c r="G148" i="3"/>
  <c r="F148" i="3"/>
  <c r="M133" i="3"/>
  <c r="G133" i="3"/>
  <c r="F133" i="3"/>
  <c r="M111" i="3"/>
  <c r="G111" i="3"/>
  <c r="G163" i="3" s="1"/>
  <c r="G251" i="3" s="1"/>
  <c r="F111" i="3"/>
  <c r="A97" i="3"/>
  <c r="K93" i="3"/>
  <c r="K250" i="3" s="1"/>
  <c r="J93" i="3"/>
  <c r="J250" i="3" s="1"/>
  <c r="I93" i="3"/>
  <c r="I250" i="3" s="1"/>
  <c r="H93" i="3"/>
  <c r="H250" i="3" s="1"/>
  <c r="M77" i="3"/>
  <c r="M93" i="3" s="1"/>
  <c r="G77" i="3"/>
  <c r="G93" i="3" s="1"/>
  <c r="G250" i="3" s="1"/>
  <c r="F77" i="3"/>
  <c r="F93" i="3" s="1"/>
  <c r="F250" i="3" s="1"/>
  <c r="E77" i="3"/>
  <c r="E93" i="3" s="1"/>
  <c r="E250" i="3" s="1"/>
  <c r="S12" i="1" s="1"/>
  <c r="K61" i="3"/>
  <c r="J61" i="3"/>
  <c r="J249" i="3" s="1"/>
  <c r="I61" i="3"/>
  <c r="I249" i="3" s="1"/>
  <c r="H61" i="3"/>
  <c r="H249" i="3" s="1"/>
  <c r="G57" i="3"/>
  <c r="F57" i="3"/>
  <c r="G54" i="3"/>
  <c r="F54" i="3"/>
  <c r="G51" i="3"/>
  <c r="F51" i="3"/>
  <c r="M38" i="3"/>
  <c r="M61" i="3" s="1"/>
  <c r="G38" i="3"/>
  <c r="F38" i="3"/>
  <c r="F61" i="3" s="1"/>
  <c r="F249" i="3" s="1"/>
  <c r="T11" i="1" s="1"/>
  <c r="E32" i="3"/>
  <c r="E61" i="3" s="1"/>
  <c r="E249" i="3" s="1"/>
  <c r="S11" i="1" s="1"/>
  <c r="M19" i="3"/>
  <c r="K19" i="3"/>
  <c r="K248" i="3" s="1"/>
  <c r="Z10" i="1" s="1"/>
  <c r="J19" i="3"/>
  <c r="J248" i="3" s="1"/>
  <c r="I19" i="3"/>
  <c r="I248" i="3" s="1"/>
  <c r="H19" i="3"/>
  <c r="H248" i="3" s="1"/>
  <c r="G19" i="3"/>
  <c r="G248" i="3" s="1"/>
  <c r="F19" i="3"/>
  <c r="F248" i="3" s="1"/>
  <c r="E19" i="3"/>
  <c r="E248" i="3" s="1"/>
  <c r="N34" i="2"/>
  <c r="N37" i="2" s="1"/>
  <c r="L34" i="2"/>
  <c r="E34" i="2"/>
  <c r="H33" i="2"/>
  <c r="L33" i="2" s="1"/>
  <c r="N33" i="2" s="1"/>
  <c r="F33" i="2"/>
  <c r="J30" i="2"/>
  <c r="J35" i="2" s="1"/>
  <c r="I30" i="2"/>
  <c r="I35" i="2" s="1"/>
  <c r="G30" i="2"/>
  <c r="G35" i="2" s="1"/>
  <c r="F28" i="2"/>
  <c r="F27" i="2"/>
  <c r="F26" i="2"/>
  <c r="F25" i="2"/>
  <c r="E25" i="2"/>
  <c r="F24" i="2"/>
  <c r="D27" i="1" s="1"/>
  <c r="H23" i="2"/>
  <c r="E23" i="2"/>
  <c r="F23" i="2" s="1"/>
  <c r="H22" i="2"/>
  <c r="F22" i="2"/>
  <c r="H21" i="2"/>
  <c r="F21" i="2"/>
  <c r="H20" i="2"/>
  <c r="E20" i="2"/>
  <c r="F20" i="2" s="1"/>
  <c r="D23" i="1" s="1"/>
  <c r="H19" i="2"/>
  <c r="F19" i="2"/>
  <c r="H18" i="2"/>
  <c r="E18" i="2"/>
  <c r="F18" i="2" s="1"/>
  <c r="D21" i="1" s="1"/>
  <c r="D49" i="1" s="1"/>
  <c r="I49" i="1" s="1"/>
  <c r="J49" i="1" s="1"/>
  <c r="H17" i="2"/>
  <c r="E17" i="2"/>
  <c r="F17" i="2" s="1"/>
  <c r="D20" i="1" s="1"/>
  <c r="H16" i="2"/>
  <c r="E16" i="2"/>
  <c r="F16" i="2" s="1"/>
  <c r="H15" i="2"/>
  <c r="E15" i="2"/>
  <c r="F15" i="2" s="1"/>
  <c r="H14" i="2"/>
  <c r="E14" i="2"/>
  <c r="F14" i="2" s="1"/>
  <c r="H13" i="2"/>
  <c r="E13" i="2"/>
  <c r="F13" i="2" s="1"/>
  <c r="D16" i="1" s="1"/>
  <c r="H12" i="2"/>
  <c r="E12" i="2"/>
  <c r="F12" i="2" s="1"/>
  <c r="D15" i="1" s="1"/>
  <c r="H11" i="2"/>
  <c r="F11" i="2"/>
  <c r="H10" i="2"/>
  <c r="E10" i="2"/>
  <c r="F10" i="2" s="1"/>
  <c r="D13" i="1" s="1"/>
  <c r="H9" i="2"/>
  <c r="E9" i="2"/>
  <c r="F9" i="2" s="1"/>
  <c r="D12" i="1" s="1"/>
  <c r="D51" i="1" s="1"/>
  <c r="I51" i="1" s="1"/>
  <c r="J51" i="1" s="1"/>
  <c r="H8" i="2"/>
  <c r="E8" i="2"/>
  <c r="F8" i="2" s="1"/>
  <c r="H7" i="2"/>
  <c r="E7" i="2"/>
  <c r="F7" i="2" s="1"/>
  <c r="D10" i="1" s="1"/>
  <c r="I10" i="1" s="1"/>
  <c r="J10" i="1" s="1"/>
  <c r="H6" i="2"/>
  <c r="E6" i="2"/>
  <c r="F6" i="2" s="1"/>
  <c r="G4" i="2"/>
  <c r="H34" i="2" s="1"/>
  <c r="H35" i="2" s="1"/>
  <c r="L88" i="1"/>
  <c r="H88" i="1"/>
  <c r="G88" i="1"/>
  <c r="F88" i="1"/>
  <c r="E88" i="1"/>
  <c r="I87" i="1"/>
  <c r="J87" i="1" s="1"/>
  <c r="J86" i="1"/>
  <c r="I86" i="1"/>
  <c r="I85" i="1"/>
  <c r="J85" i="1" s="1"/>
  <c r="I84" i="1"/>
  <c r="J84" i="1" s="1"/>
  <c r="I83" i="1"/>
  <c r="J83" i="1" s="1"/>
  <c r="J82" i="1"/>
  <c r="I82" i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H71" i="1"/>
  <c r="G71" i="1"/>
  <c r="F71" i="1"/>
  <c r="E71" i="1"/>
  <c r="I70" i="1"/>
  <c r="J70" i="1" s="1"/>
  <c r="I69" i="1"/>
  <c r="J69" i="1" s="1"/>
  <c r="L68" i="1"/>
  <c r="K68" i="1" s="1"/>
  <c r="I68" i="1"/>
  <c r="J68" i="1" s="1"/>
  <c r="L67" i="1"/>
  <c r="L66" i="1"/>
  <c r="L62" i="1"/>
  <c r="L61" i="1"/>
  <c r="L60" i="1"/>
  <c r="L59" i="1"/>
  <c r="L58" i="1"/>
  <c r="L57" i="1"/>
  <c r="K57" i="1" s="1"/>
  <c r="D57" i="1"/>
  <c r="I57" i="1" s="1"/>
  <c r="J57" i="1" s="1"/>
  <c r="L56" i="1"/>
  <c r="L55" i="1"/>
  <c r="L54" i="1"/>
  <c r="L53" i="1"/>
  <c r="I52" i="1"/>
  <c r="J52" i="1" s="1"/>
  <c r="D52" i="1"/>
  <c r="L51" i="1"/>
  <c r="D50" i="1"/>
  <c r="I50" i="1" s="1"/>
  <c r="J50" i="1" s="1"/>
  <c r="L49" i="1"/>
  <c r="L48" i="1"/>
  <c r="L47" i="1"/>
  <c r="L46" i="1"/>
  <c r="L45" i="1"/>
  <c r="K45" i="1"/>
  <c r="K71" i="1" s="1"/>
  <c r="D45" i="1"/>
  <c r="I45" i="1" s="1"/>
  <c r="J45" i="1" s="1"/>
  <c r="AC44" i="1"/>
  <c r="AB44" i="1"/>
  <c r="AA44" i="1"/>
  <c r="W44" i="1"/>
  <c r="V44" i="1"/>
  <c r="V48" i="1" s="1"/>
  <c r="V6" i="1" s="1"/>
  <c r="L44" i="1"/>
  <c r="U43" i="1"/>
  <c r="T43" i="1"/>
  <c r="L43" i="1"/>
  <c r="X42" i="1"/>
  <c r="Y42" i="1" s="1"/>
  <c r="L42" i="1"/>
  <c r="T41" i="1"/>
  <c r="S41" i="1"/>
  <c r="U40" i="1"/>
  <c r="T40" i="1"/>
  <c r="T39" i="1"/>
  <c r="S39" i="1"/>
  <c r="L39" i="1"/>
  <c r="K39" i="1"/>
  <c r="H39" i="1"/>
  <c r="G39" i="1"/>
  <c r="F39" i="1"/>
  <c r="E39" i="1"/>
  <c r="I39" i="1" s="1"/>
  <c r="J39" i="1" s="1"/>
  <c r="D39" i="1"/>
  <c r="X38" i="1"/>
  <c r="Y38" i="1" s="1"/>
  <c r="I38" i="1"/>
  <c r="J38" i="1" s="1"/>
  <c r="J37" i="1"/>
  <c r="I37" i="1"/>
  <c r="I36" i="1"/>
  <c r="J36" i="1" s="1"/>
  <c r="J35" i="1"/>
  <c r="I35" i="1"/>
  <c r="AC34" i="1"/>
  <c r="W34" i="1"/>
  <c r="V34" i="1"/>
  <c r="S33" i="1"/>
  <c r="Z32" i="1"/>
  <c r="S32" i="1"/>
  <c r="L32" i="1"/>
  <c r="G32" i="1"/>
  <c r="F32" i="1"/>
  <c r="E32" i="1"/>
  <c r="E90" i="1" s="1"/>
  <c r="T46" i="1" s="1"/>
  <c r="AA31" i="1"/>
  <c r="K31" i="1"/>
  <c r="D31" i="1"/>
  <c r="D65" i="1" s="1"/>
  <c r="I65" i="1" s="1"/>
  <c r="J65" i="1" s="1"/>
  <c r="AA30" i="1"/>
  <c r="U30" i="1"/>
  <c r="K30" i="1"/>
  <c r="D30" i="1"/>
  <c r="D64" i="1" s="1"/>
  <c r="I64" i="1" s="1"/>
  <c r="J64" i="1" s="1"/>
  <c r="T29" i="1"/>
  <c r="S29" i="1"/>
  <c r="K29" i="1"/>
  <c r="D29" i="1"/>
  <c r="D63" i="1" s="1"/>
  <c r="I63" i="1" s="1"/>
  <c r="J63" i="1" s="1"/>
  <c r="X28" i="1"/>
  <c r="Y28" i="1" s="1"/>
  <c r="D28" i="1"/>
  <c r="D42" i="1" s="1"/>
  <c r="Z27" i="1"/>
  <c r="U27" i="1"/>
  <c r="S27" i="1"/>
  <c r="K27" i="1"/>
  <c r="T26" i="1"/>
  <c r="K26" i="1"/>
  <c r="D26" i="1"/>
  <c r="D44" i="1" s="1"/>
  <c r="I44" i="1" s="1"/>
  <c r="J44" i="1" s="1"/>
  <c r="D25" i="1"/>
  <c r="D66" i="1" s="1"/>
  <c r="I66" i="1" s="1"/>
  <c r="J66" i="1" s="1"/>
  <c r="K24" i="1"/>
  <c r="D24" i="1"/>
  <c r="D58" i="1" s="1"/>
  <c r="I58" i="1" s="1"/>
  <c r="J58" i="1" s="1"/>
  <c r="AB23" i="1"/>
  <c r="AB34" i="1" s="1"/>
  <c r="AA23" i="1"/>
  <c r="Z23" i="1"/>
  <c r="K23" i="1"/>
  <c r="K22" i="1"/>
  <c r="D22" i="1"/>
  <c r="D62" i="1" s="1"/>
  <c r="I62" i="1" s="1"/>
  <c r="J62" i="1" s="1"/>
  <c r="K21" i="1"/>
  <c r="AC20" i="1"/>
  <c r="AC48" i="1" s="1"/>
  <c r="AC6" i="1" s="1"/>
  <c r="W20" i="1"/>
  <c r="V20" i="1"/>
  <c r="K20" i="1"/>
  <c r="K19" i="1"/>
  <c r="D19" i="1"/>
  <c r="D61" i="1" s="1"/>
  <c r="I61" i="1" s="1"/>
  <c r="J61" i="1" s="1"/>
  <c r="U18" i="1"/>
  <c r="T18" i="1"/>
  <c r="S18" i="1"/>
  <c r="D18" i="1"/>
  <c r="I18" i="1" s="1"/>
  <c r="J18" i="1" s="1"/>
  <c r="U17" i="1"/>
  <c r="K17" i="1"/>
  <c r="D17" i="1"/>
  <c r="D54" i="1" s="1"/>
  <c r="I54" i="1" s="1"/>
  <c r="J54" i="1" s="1"/>
  <c r="T16" i="1"/>
  <c r="S16" i="1"/>
  <c r="K16" i="1"/>
  <c r="Z15" i="1"/>
  <c r="AB14" i="1"/>
  <c r="AA14" i="1"/>
  <c r="U14" i="1"/>
  <c r="D14" i="1"/>
  <c r="I14" i="1" s="1"/>
  <c r="J14" i="1" s="1"/>
  <c r="S13" i="1"/>
  <c r="K13" i="1"/>
  <c r="AB12" i="1"/>
  <c r="Z12" i="1"/>
  <c r="U12" i="1"/>
  <c r="T12" i="1"/>
  <c r="K12" i="1"/>
  <c r="K11" i="1"/>
  <c r="D11" i="1"/>
  <c r="D56" i="1" s="1"/>
  <c r="I56" i="1" s="1"/>
  <c r="J56" i="1" s="1"/>
  <c r="AB10" i="1"/>
  <c r="AA10" i="1"/>
  <c r="U10" i="1"/>
  <c r="T10" i="1"/>
  <c r="S10" i="1"/>
  <c r="K10" i="1"/>
  <c r="S9" i="1"/>
  <c r="K9" i="1"/>
  <c r="W6" i="1"/>
  <c r="X29" i="1" l="1"/>
  <c r="Y29" i="1" s="1"/>
  <c r="Z20" i="1"/>
  <c r="X27" i="1"/>
  <c r="Y27" i="1" s="1"/>
  <c r="X16" i="1"/>
  <c r="Y16" i="1" s="1"/>
  <c r="I28" i="1"/>
  <c r="J28" i="1" s="1"/>
  <c r="X33" i="1"/>
  <c r="Y33" i="1" s="1"/>
  <c r="X40" i="1"/>
  <c r="Y40" i="1" s="1"/>
  <c r="X11" i="1"/>
  <c r="Y11" i="1" s="1"/>
  <c r="X31" i="1"/>
  <c r="Y31" i="1" s="1"/>
  <c r="X17" i="1"/>
  <c r="Y17" i="1" s="1"/>
  <c r="X12" i="1"/>
  <c r="Y12" i="1" s="1"/>
  <c r="F91" i="4"/>
  <c r="F92" i="4" s="1"/>
  <c r="T9" i="1"/>
  <c r="X9" i="1" s="1"/>
  <c r="F30" i="2"/>
  <c r="D9" i="1"/>
  <c r="I91" i="4"/>
  <c r="I92" i="4" s="1"/>
  <c r="X30" i="1"/>
  <c r="Y30" i="1" s="1"/>
  <c r="X19" i="1"/>
  <c r="Y19" i="1" s="1"/>
  <c r="AB20" i="1"/>
  <c r="AB48" i="1" s="1"/>
  <c r="AB6" i="1" s="1"/>
  <c r="Z37" i="1"/>
  <c r="H90" i="1"/>
  <c r="H92" i="1" s="1"/>
  <c r="H5" i="1" s="1"/>
  <c r="H4" i="1" s="1"/>
  <c r="J254" i="3"/>
  <c r="U15" i="1"/>
  <c r="K91" i="4"/>
  <c r="K92" i="4" s="1"/>
  <c r="E124" i="6"/>
  <c r="F81" i="9"/>
  <c r="F85" i="9" s="1"/>
  <c r="S43" i="1"/>
  <c r="X43" i="1" s="1"/>
  <c r="Y43" i="1" s="1"/>
  <c r="H254" i="3"/>
  <c r="M163" i="3"/>
  <c r="G45" i="4"/>
  <c r="X32" i="1"/>
  <c r="Y32" i="1" s="1"/>
  <c r="G124" i="6"/>
  <c r="I26" i="1"/>
  <c r="J26" i="1" s="1"/>
  <c r="L35" i="2"/>
  <c r="L37" i="2"/>
  <c r="H91" i="4"/>
  <c r="L91" i="5"/>
  <c r="L235" i="5" s="1"/>
  <c r="L244" i="5" s="1"/>
  <c r="X41" i="1"/>
  <c r="Y41" i="1" s="1"/>
  <c r="I17" i="1"/>
  <c r="J17" i="1" s="1"/>
  <c r="AA34" i="1"/>
  <c r="X39" i="1"/>
  <c r="Y39" i="1" s="1"/>
  <c r="U41" i="1"/>
  <c r="H30" i="2"/>
  <c r="I91" i="5"/>
  <c r="G60" i="5"/>
  <c r="G71" i="5" s="1"/>
  <c r="X25" i="1"/>
  <c r="Y25" i="1" s="1"/>
  <c r="E81" i="9"/>
  <c r="S37" i="1" s="1"/>
  <c r="X10" i="1"/>
  <c r="Y10" i="1" s="1"/>
  <c r="X18" i="1"/>
  <c r="Y18" i="1" s="1"/>
  <c r="AA20" i="1"/>
  <c r="X26" i="1"/>
  <c r="Y26" i="1" s="1"/>
  <c r="I30" i="1"/>
  <c r="J30" i="1" s="1"/>
  <c r="G90" i="1"/>
  <c r="G92" i="1" s="1"/>
  <c r="G5" i="1" s="1"/>
  <c r="N35" i="2"/>
  <c r="G20" i="5"/>
  <c r="G234" i="5" s="1"/>
  <c r="U23" i="1" s="1"/>
  <c r="F41" i="5"/>
  <c r="K32" i="1"/>
  <c r="K90" i="1" s="1"/>
  <c r="D59" i="1"/>
  <c r="I59" i="1" s="1"/>
  <c r="J59" i="1" s="1"/>
  <c r="I15" i="1"/>
  <c r="J15" i="1" s="1"/>
  <c r="I42" i="1"/>
  <c r="J42" i="1" s="1"/>
  <c r="D53" i="1"/>
  <c r="I53" i="1" s="1"/>
  <c r="J53" i="1" s="1"/>
  <c r="I16" i="1"/>
  <c r="J16" i="1" s="1"/>
  <c r="S15" i="1"/>
  <c r="S20" i="1" s="1"/>
  <c r="E254" i="3"/>
  <c r="Z44" i="1"/>
  <c r="I20" i="1"/>
  <c r="J20" i="1" s="1"/>
  <c r="D67" i="1"/>
  <c r="I67" i="1" s="1"/>
  <c r="J67" i="1" s="1"/>
  <c r="I23" i="1"/>
  <c r="J23" i="1" s="1"/>
  <c r="D47" i="1"/>
  <c r="I47" i="1" s="1"/>
  <c r="J47" i="1" s="1"/>
  <c r="I27" i="1"/>
  <c r="J27" i="1" s="1"/>
  <c r="D43" i="1"/>
  <c r="I43" i="1" s="1"/>
  <c r="J43" i="1" s="1"/>
  <c r="G4" i="1"/>
  <c r="I13" i="1"/>
  <c r="J13" i="1" s="1"/>
  <c r="D48" i="1"/>
  <c r="I48" i="1" s="1"/>
  <c r="J48" i="1" s="1"/>
  <c r="Z24" i="1"/>
  <c r="Z34" i="1" s="1"/>
  <c r="J244" i="5"/>
  <c r="I12" i="1"/>
  <c r="J12" i="1" s="1"/>
  <c r="U13" i="1"/>
  <c r="I22" i="1"/>
  <c r="J22" i="1" s="1"/>
  <c r="T23" i="1"/>
  <c r="I31" i="1"/>
  <c r="J31" i="1" s="1"/>
  <c r="T37" i="1"/>
  <c r="D46" i="1"/>
  <c r="I46" i="1" s="1"/>
  <c r="J46" i="1" s="1"/>
  <c r="D55" i="1"/>
  <c r="I55" i="1" s="1"/>
  <c r="J55" i="1" s="1"/>
  <c r="F163" i="3"/>
  <c r="F251" i="3" s="1"/>
  <c r="T13" i="1" s="1"/>
  <c r="X13" i="1" s="1"/>
  <c r="Y13" i="1" s="1"/>
  <c r="L91" i="4"/>
  <c r="L92" i="4" s="1"/>
  <c r="I11" i="1"/>
  <c r="J11" i="1" s="1"/>
  <c r="I24" i="1"/>
  <c r="J24" i="1" s="1"/>
  <c r="I254" i="3"/>
  <c r="G85" i="9"/>
  <c r="U19" i="1"/>
  <c r="I25" i="1"/>
  <c r="J25" i="1" s="1"/>
  <c r="U37" i="1"/>
  <c r="F35" i="2"/>
  <c r="K254" i="3"/>
  <c r="E91" i="4"/>
  <c r="E92" i="4" s="1"/>
  <c r="H88" i="4"/>
  <c r="J124" i="6"/>
  <c r="M254" i="3"/>
  <c r="L71" i="1"/>
  <c r="L90" i="1" s="1"/>
  <c r="E235" i="5"/>
  <c r="S24" i="1" s="1"/>
  <c r="S34" i="1" s="1"/>
  <c r="D74" i="1"/>
  <c r="H124" i="6"/>
  <c r="H85" i="9"/>
  <c r="I29" i="1"/>
  <c r="J29" i="1" s="1"/>
  <c r="D60" i="1"/>
  <c r="I60" i="1" s="1"/>
  <c r="J60" i="1" s="1"/>
  <c r="J91" i="4"/>
  <c r="J92" i="4" s="1"/>
  <c r="G23" i="5"/>
  <c r="G41" i="5"/>
  <c r="I124" i="6"/>
  <c r="I19" i="1"/>
  <c r="J19" i="1" s="1"/>
  <c r="I21" i="1"/>
  <c r="J21" i="1" s="1"/>
  <c r="F90" i="1"/>
  <c r="U46" i="1" s="1"/>
  <c r="U39" i="1"/>
  <c r="E30" i="2"/>
  <c r="F34" i="2"/>
  <c r="E35" i="2"/>
  <c r="F216" i="3"/>
  <c r="F252" i="3" s="1"/>
  <c r="T14" i="1" s="1"/>
  <c r="X14" i="1" s="1"/>
  <c r="Y14" i="1" s="1"/>
  <c r="L124" i="6"/>
  <c r="L85" i="9"/>
  <c r="E92" i="1"/>
  <c r="G61" i="3"/>
  <c r="G249" i="3" s="1"/>
  <c r="G254" i="3" s="1"/>
  <c r="F71" i="5"/>
  <c r="F91" i="5" s="1"/>
  <c r="F235" i="5" s="1"/>
  <c r="T24" i="1" s="1"/>
  <c r="X24" i="1" s="1"/>
  <c r="Y24" i="1" s="1"/>
  <c r="F124" i="6"/>
  <c r="E85" i="9"/>
  <c r="D71" i="1" l="1"/>
  <c r="I71" i="1" s="1"/>
  <c r="J71" i="1" s="1"/>
  <c r="S44" i="1"/>
  <c r="X15" i="1"/>
  <c r="Y15" i="1" s="1"/>
  <c r="X20" i="1"/>
  <c r="G88" i="4"/>
  <c r="G91" i="4" s="1"/>
  <c r="G92" i="4" s="1"/>
  <c r="U9" i="1"/>
  <c r="U20" i="1" s="1"/>
  <c r="F254" i="3"/>
  <c r="Y9" i="1"/>
  <c r="H92" i="4"/>
  <c r="F244" i="5"/>
  <c r="T20" i="1"/>
  <c r="D32" i="1"/>
  <c r="D90" i="1" s="1"/>
  <c r="I9" i="1"/>
  <c r="J9" i="1" s="1"/>
  <c r="G91" i="5"/>
  <c r="G235" i="5" s="1"/>
  <c r="U24" i="1" s="1"/>
  <c r="U34" i="1" s="1"/>
  <c r="Z46" i="1"/>
  <c r="Z48" i="1" s="1"/>
  <c r="Z6" i="1" s="1"/>
  <c r="K92" i="1"/>
  <c r="K5" i="1" s="1"/>
  <c r="AA46" i="1"/>
  <c r="AA48" i="1" s="1"/>
  <c r="L92" i="1"/>
  <c r="I74" i="1"/>
  <c r="J74" i="1" s="1"/>
  <c r="D88" i="1"/>
  <c r="I88" i="1" s="1"/>
  <c r="J88" i="1" s="1"/>
  <c r="F92" i="1"/>
  <c r="F5" i="1" s="1"/>
  <c r="E5" i="1"/>
  <c r="U44" i="1"/>
  <c r="T34" i="1"/>
  <c r="X34" i="1" s="1"/>
  <c r="Y34" i="1" s="1"/>
  <c r="Y23" i="1"/>
  <c r="E244" i="5"/>
  <c r="X37" i="1"/>
  <c r="T44" i="1"/>
  <c r="I32" i="1" l="1"/>
  <c r="J32" i="1" s="1"/>
  <c r="U48" i="1"/>
  <c r="U6" i="1" s="1"/>
  <c r="F4" i="1" s="1"/>
  <c r="Y20" i="1"/>
  <c r="T48" i="1"/>
  <c r="T6" i="1" s="1"/>
  <c r="E4" i="1" s="1"/>
  <c r="G244" i="5"/>
  <c r="K4" i="1"/>
  <c r="X44" i="1"/>
  <c r="Y44" i="1" s="1"/>
  <c r="Y37" i="1"/>
  <c r="S46" i="1"/>
  <c r="I90" i="1"/>
  <c r="J90" i="1" s="1"/>
  <c r="D92" i="1"/>
  <c r="D5" i="1" l="1"/>
  <c r="I92" i="1"/>
  <c r="J92" i="1" s="1"/>
  <c r="X46" i="1"/>
  <c r="Y46" i="1" s="1"/>
  <c r="S48" i="1"/>
  <c r="S6" i="1" l="1"/>
  <c r="D4" i="1" s="1"/>
  <c r="X48" i="1"/>
  <c r="X6" i="1" l="1"/>
  <c r="Y48" i="1"/>
  <c r="Y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 liang</author>
    <author>tc={2E44393A-F1B4-401E-9E0B-1D1489D70DF7}</author>
    <author>tc={07A5CF7D-B8B1-41F7-BD92-BB0DCAFEE48B}</author>
    <author>tc={BD1020DE-CCE2-4F5D-9306-4E3F684B92BE}</author>
    <author>tc={2BDED106-160C-48DF-9C56-C052B8A60BA9}</author>
    <author>tc={1FC23468-1A38-4915-B9D7-C81B9D1B193F}</author>
    <author>tc={3CEB3BCE-FD0B-4DA6-A7B6-4BEDDF1F3769}</author>
    <author>tc={0216C02A-04A5-45C0-BA9A-1704907B740E}</author>
    <author>tc={3B9EFA3B-0021-42B2-B4E2-F04DEA2C2391}</author>
  </authors>
  <commentList>
    <comment ref="X8" authorId="0" shapeId="0" xr:uid="{00000000-0006-0000-0000-000001000000}">
      <text>
        <r>
          <rPr>
            <sz val="11"/>
            <color indexed="8"/>
            <rFont val="Helvetica Neue"/>
          </rPr>
          <t xml:space="preserve">lucia liang:
I think we need to change this to actual over budget </t>
        </r>
      </text>
    </comment>
    <comment ref="K45" authorId="1" shapeId="0" xr:uid="{00000000-0006-0000-0000-000002000000}">
      <text>
        <r>
          <rPr>
            <sz val="11"/>
            <color indexed="8"/>
            <rFont val="Helvetica Neue"/>
          </rPr>
          <t>tc={2E44393A-F1B4-401E-9E0B-1D1489D70DF7}:
[Threaded comment]
Your version of Excel allows you to read this threaded comment; however, any edits to it will get removed if the file is opened in a newer version of Excel. Learn more: https://go.microsoft.com/fwlink/?linkid=870924
Comment:
    Assumption that it's 3000 like the last few years. May be incorrect; have to double check this #.</t>
        </r>
      </text>
    </comment>
    <comment ref="K57" authorId="2" shapeId="0" xr:uid="{00000000-0006-0000-0000-000003000000}">
      <text>
        <r>
          <rPr>
            <sz val="11"/>
            <color indexed="8"/>
            <rFont val="Helvetica Neue"/>
          </rPr>
          <t>tc={07A5CF7D-B8B1-41F7-BD92-BB0DCAFEE48B}:
[Threaded comment]
Your version of Excel allows you to read this threaded comment; however, any edits to it will get removed if the file is opened in a newer version of Excel. Learn more: https://go.microsoft.com/fwlink/?linkid=870924
Comment:
    Assumption that it's 5000 like the last few years. May be incorrect; have to double check this #.</t>
        </r>
      </text>
    </comment>
    <comment ref="K68" authorId="3" shapeId="0" xr:uid="{00000000-0006-0000-0000-000004000000}">
      <text>
        <r>
          <rPr>
            <sz val="11"/>
            <color indexed="8"/>
            <rFont val="Helvetica Neue"/>
          </rPr>
          <t>tc={BD1020DE-CCE2-4F5D-9306-4E3F684B92BE}:
[Threaded comment]
Your version of Excel allows you to read this threaded comment; however, any edits to it will get removed if the file is opened in a newer version of Excel. Learn more: https://go.microsoft.com/fwlink/?linkid=870924
Comment:
    Not sure if these 3 election fund actuals are correct; taken from past year's actuals. Would double check.</t>
        </r>
      </text>
    </comment>
    <comment ref="K76" authorId="4" shapeId="0" xr:uid="{00000000-0006-0000-0000-000005000000}">
      <text>
        <r>
          <rPr>
            <sz val="11"/>
            <color indexed="8"/>
            <rFont val="Helvetica Neue"/>
          </rPr>
          <t>tc={2BDED106-160C-48DF-9C56-C052B8A60BA9}:
[Threaded comment]
Your version of Excel allows you to read this threaded comment; however, any edits to it will get removed if the file is opened in a newer version of Excel. Learn more: https://go.microsoft.com/fwlink/?linkid=870924
Comment:
    Not sure if this is the right number, I took this number as the full amount from the SUB Renewal Fund.</t>
        </r>
      </text>
    </comment>
    <comment ref="K77" authorId="5" shapeId="0" xr:uid="{00000000-0006-0000-0000-000006000000}">
      <text>
        <r>
          <rPr>
            <sz val="11"/>
            <color indexed="8"/>
            <rFont val="Helvetica Neue"/>
          </rPr>
          <t>tc={1FC23468-1A38-4915-B9D7-C81B9D1B193F}:
[Threaded comment]
Your version of Excel allows you to read this threaded comment; however, any edits to it will get removed if the file is opened in a newer version of Excel. Learn more: https://go.microsoft.com/fwlink/?linkid=870924
Comment:
    Not sure if this is the right number, I took this number as the full amount from the  Capital Projects Fund</t>
        </r>
      </text>
    </comment>
    <comment ref="K78" authorId="6" shapeId="0" xr:uid="{00000000-0006-0000-0000-000007000000}">
      <text>
        <r>
          <rPr>
            <sz val="11"/>
            <color indexed="8"/>
            <rFont val="Helvetica Neue"/>
          </rPr>
          <t>tc={3CEB3BCE-FD0B-4DA6-A7B6-4BEDDF1F3769}:
[Threaded comment]
Your version of Excel allows you to read this threaded comment; however, any edits to it will get removed if the file is opened in a newer version of Excel. Learn more: https://go.microsoft.com/fwlink/?linkid=870924
Comment:
    Not sure if this is the right number, I took this number as the full amount from the Clubs Benefit Fund</t>
        </r>
      </text>
    </comment>
    <comment ref="K83" authorId="7" shapeId="0" xr:uid="{00000000-0006-0000-0000-000008000000}">
      <text>
        <r>
          <rPr>
            <sz val="11"/>
            <color indexed="8"/>
            <rFont val="Helvetica Neue"/>
          </rPr>
          <t>tc={0216C02A-04A5-45C0-BA9A-1704907B740E}:
[Threaded comment]
Your version of Excel allows you to read this threaded comment; however, any edits to it will get removed if the file is opened in a newer version of Excel. Learn more: https://go.microsoft.com/fwlink/?linkid=870924
Comment:
    Not sure if this is the right number, I took this number as the full amount from the International (?) Fund.</t>
        </r>
      </text>
    </comment>
    <comment ref="K87" authorId="8" shapeId="0" xr:uid="{00000000-0006-0000-0000-000009000000}">
      <text>
        <r>
          <rPr>
            <sz val="11"/>
            <color indexed="8"/>
            <rFont val="Helvetica Neue"/>
          </rPr>
          <t>tc={3B9EFA3B-0021-42B2-B4E2-F04DEA2C2391}:
[Threaded comment]
Your version of Excel allows you to read this threaded comment; however, any edits to it will get removed if the file is opened in a newer version of Excel. Learn more: https://go.microsoft.com/fwlink/?linkid=870924
Comment:
    Somewhat comfortable with this # because it's similar to a few year's ago. But would still double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tc={A6352084-D4BF-4299-9916-F4AFA41725BA}</author>
    <author>Avpfinance</author>
  </authors>
  <commentList>
    <comment ref="J23" authorId="0" shapeId="0" xr:uid="{00000000-0006-0000-0100-000001000000}">
      <text>
        <r>
          <rPr>
            <sz val="11"/>
            <color indexed="8"/>
            <rFont val="Helvetica Neue"/>
          </rPr>
          <t>tc={A6352084-D4BF-4299-9916-F4AFA41725BA}:
[Threaded comment]
Your version of Excel allows you to read this threaded comment; however, any edits to it will get removed if the file is opened in a newer version of Excel. Learn more: https://go.microsoft.com/fwlink/?linkid=870924
Comment:
    Even though I took this directly from the "student fees" allocation spreadsheet, I would double check this #.</t>
        </r>
      </text>
    </comment>
    <comment ref="I33" authorId="1" shapeId="0" xr:uid="{00000000-0006-0000-0100-000002000000}">
      <text>
        <r>
          <rPr>
            <sz val="11"/>
            <color indexed="8"/>
            <rFont val="Helvetica Neue"/>
          </rPr>
          <t>Avpfinance:
Can't seem to find this info.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tc={EA2E03B9-1EA9-484C-81A2-385B2539F964}</author>
    <author>tc={A48766C4-EB2C-43CD-A183-AE54037C7451}</author>
    <author>tc={24D2F3CE-D310-4775-8009-A1E56A56995F}</author>
    <author>tc={FD8C977D-052A-48F5-8C88-D6EB41034E78}</author>
    <author>tc={B0B9B1FE-7580-407E-8304-861047491C8F}</author>
    <author>tc={0AF3FD24-45C4-47B6-BF46-A1485B3539C9}</author>
    <author>tc={6A931D4E-A20E-435E-86A9-E2C3C91EFF7E}</author>
    <author>tc={FC40AE22-3508-49E7-8A9E-2035C127B055}</author>
    <author>tc={E5FCE9EA-D123-4BDC-A193-3FA456E4A624}</author>
    <author>tc={AA264CF4-110D-4F31-859F-F9AE64DC9E9B}</author>
    <author>tc={8FAC2DA5-9B65-456D-A7EB-2E6B6FC7F83D}</author>
    <author>tc={D1F53DF5-3D24-4789-A9CC-77634760B0F9}</author>
    <author>tc={5C41BDDE-7B29-4C2D-BFC2-F7238C15A5A4}</author>
    <author>tc={78BEFF9D-9F88-41A8-B352-4D6191CC89DD}</author>
    <author>tc={4D62CD4E-EF7D-42E4-8F25-8BE2023AD382}</author>
    <author>tc={73CED782-D16A-4A06-858C-EB9E9E1CC2D8}</author>
    <author>tc={BF67219F-1647-4FD8-8CA1-8B006041AE2F}</author>
    <author>tc={AAE6F710-72CB-433D-A130-1F6F6D935A70}</author>
    <author>tc={82446F8A-A6E2-4889-8A99-42F2A2A3C26E}</author>
    <author>tc={6B9E36E8-0DE3-43C2-B70A-A8872A12A0E9}</author>
    <author>tc={5F8112EB-42A6-415B-8FDC-8CC5258BF3CB}</author>
    <author>tc={9D6C561F-F4A7-4CD0-9D01-FA679B047F6D}</author>
    <author>tc={3AB02492-727C-4B33-A32F-8CB82A2F729C}</author>
    <author>tc={8B9F34A3-4ADF-429E-8379-F7DA98DBF779}</author>
    <author>tc={8D4BCC32-C625-4DD4-B41E-BE19626CA6C6}</author>
    <author>tc={ACE5E4D2-DF79-4B59-8CD6-55677CA78FDA}</author>
  </authors>
  <commentList>
    <comment ref="K9" authorId="0" shapeId="0" xr:uid="{00000000-0006-0000-0200-000001000000}">
      <text>
        <r>
          <rPr>
            <sz val="11"/>
            <color indexed="8"/>
            <rFont val="Helvetica Neue"/>
          </rPr>
          <t>tc={EA2E03B9-1EA9-484C-81A2-385B2539F964}:
[Threaded comment]
Your version of Excel allows you to read this threaded comment; however, any edits to it will get removed if the file is opened in a newer version of Excel. Learn more: https://go.microsoft.com/fwlink/?linkid=870924
Comment:
    Large discrepancy from last yr's actuals and budget.</t>
        </r>
      </text>
    </comment>
    <comment ref="K11" authorId="1" shapeId="0" xr:uid="{00000000-0006-0000-0200-000002000000}">
      <text>
        <r>
          <rPr>
            <sz val="11"/>
            <color indexed="8"/>
            <rFont val="Helvetica Neue"/>
          </rPr>
          <t>tc={A48766C4-EB2C-43CD-A183-AE54037C7451}:
[Threaded comment]
Your version of Excel allows you to read this threaded comment; however, any edits to it will get removed if the file is opened in a newer version of Excel. Learn more: https://go.microsoft.com/fwlink/?linkid=870924
Comment:
    Was not budgeted for.</t>
        </r>
      </text>
    </comment>
    <comment ref="K15" authorId="2" shapeId="0" xr:uid="{00000000-0006-0000-0200-000003000000}">
      <text>
        <r>
          <rPr>
            <sz val="11"/>
            <color indexed="8"/>
            <rFont val="Helvetica Neue"/>
          </rPr>
          <t>tc={24D2F3CE-D310-4775-8009-A1E56A56995F}:
[Threaded comment]
Your version of Excel allows you to read this threaded comment; however, any edits to it will get removed if the file is opened in a newer version of Excel. Learn more: https://go.microsoft.com/fwlink/?linkid=870924
Comment:
    Was budgeted for, was there no spending here?</t>
        </r>
      </text>
    </comment>
    <comment ref="K17" authorId="3" shapeId="0" xr:uid="{00000000-0006-0000-0200-000004000000}">
      <text>
        <r>
          <rPr>
            <sz val="11"/>
            <color indexed="8"/>
            <rFont val="Helvetica Neue"/>
          </rPr>
          <t>tc={FD8C977D-052A-48F5-8C88-D6EB41034E78}:
[Threaded comment]
Your version of Excel allows you to read this threaded comment; however, any edits to it will get removed if the file is opened in a newer version of Excel. Learn more: https://go.microsoft.com/fwlink/?linkid=870924
Comment:
    Large discrepancy from last yr's actuals and budget.</t>
        </r>
      </text>
    </comment>
    <comment ref="K23" authorId="4" shapeId="0" xr:uid="{00000000-0006-0000-0200-000005000000}">
      <text>
        <r>
          <rPr>
            <sz val="11"/>
            <color indexed="8"/>
            <rFont val="Helvetica Neue"/>
          </rPr>
          <t>tc={B0B9B1FE-7580-407E-8304-861047491C8F}:
[Threaded comment]
Your version of Excel allows you to read this threaded comment; however, any edits to it will get removed if the file is opened in a newer version of Excel. Learn more: https://go.microsoft.com/fwlink/?linkid=870924
Comment:
    Large discrepancy from last yr's actuals and budget.</t>
        </r>
      </text>
    </comment>
    <comment ref="K25" authorId="5" shapeId="0" xr:uid="{00000000-0006-0000-0200-000006000000}">
      <text>
        <r>
          <rPr>
            <sz val="11"/>
            <color indexed="8"/>
            <rFont val="Helvetica Neue"/>
          </rPr>
          <t>tc={0AF3FD24-45C4-47B6-BF46-A1485B3539C9}:
[Threaded comment]
Your version of Excel allows you to read this threaded comment; however, any edits to it will get removed if the file is opened in a newer version of Excel. Learn more: https://go.microsoft.com/fwlink/?linkid=870924
Comment:
    Was budgeted for, was there no spending here?</t>
        </r>
      </text>
    </comment>
    <comment ref="K29" authorId="6" shapeId="0" xr:uid="{00000000-0006-0000-0200-000007000000}">
      <text>
        <r>
          <rPr>
            <sz val="11"/>
            <color indexed="8"/>
            <rFont val="Helvetica Neue"/>
          </rPr>
          <t>tc={6A931D4E-A20E-435E-86A9-E2C3C91EFF7E}:
[Threaded comment]
Your version of Excel allows you to read this threaded comment; however, any edits to it will get removed if the file is opened in a newer version of Excel. Learn more: https://go.microsoft.com/fwlink/?linkid=870924
Comment:
    discrepancy from last yr's actuals and budget.</t>
        </r>
      </text>
    </comment>
    <comment ref="K30" authorId="7" shapeId="0" xr:uid="{00000000-0006-0000-0200-000008000000}">
      <text>
        <r>
          <rPr>
            <sz val="11"/>
            <color indexed="8"/>
            <rFont val="Helvetica Neue"/>
          </rPr>
          <t>tc={FC40AE22-3508-49E7-8A9E-2035C127B055}:
[Threaded comment]
Your version of Excel allows you to read this threaded comment; however, any edits to it will get removed if the file is opened in a newer version of Excel. Learn more: https://go.microsoft.com/fwlink/?linkid=870924
Comment:
    This was not budgeted for last year and was not touched previously.</t>
        </r>
      </text>
    </comment>
    <comment ref="K33" authorId="8" shapeId="0" xr:uid="{00000000-0006-0000-0200-000009000000}">
      <text>
        <r>
          <rPr>
            <sz val="11"/>
            <color indexed="8"/>
            <rFont val="Helvetica Neue"/>
          </rPr>
          <t>tc={E5FCE9EA-D123-4BDC-A193-3FA456E4A624}:
[Threaded comment]
Your version of Excel allows you to read this threaded comment; however, any edits to it will get removed if the file is opened in a newer version of Excel. Learn more: https://go.microsoft.com/fwlink/?linkid=870924
Comment:
    large discrepancy from last yr's actuals and budget.</t>
        </r>
      </text>
    </comment>
    <comment ref="K35" authorId="9" shapeId="0" xr:uid="{00000000-0006-0000-0200-00000A000000}">
      <text>
        <r>
          <rPr>
            <sz val="11"/>
            <color indexed="8"/>
            <rFont val="Helvetica Neue"/>
          </rPr>
          <t>tc={AA264CF4-110D-4F31-859F-F9AE64DC9E9B}: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38" authorId="10" shapeId="0" xr:uid="{00000000-0006-0000-0200-00000B000000}">
      <text>
        <r>
          <rPr>
            <sz val="11"/>
            <color indexed="8"/>
            <rFont val="Helvetica Neue"/>
          </rPr>
          <t>tc={8FAC2DA5-9B65-456D-A7EB-2E6B6FC7F83D}: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39" authorId="11" shapeId="0" xr:uid="{00000000-0006-0000-0200-00000C000000}">
      <text>
        <r>
          <rPr>
            <sz val="11"/>
            <color indexed="8"/>
            <rFont val="Helvetica Neue"/>
          </rPr>
          <t>tc={D1F53DF5-3D24-4789-A9CC-77634760B0F9}: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48" authorId="12" shapeId="0" xr:uid="{00000000-0006-0000-0200-00000D000000}">
      <text>
        <r>
          <rPr>
            <sz val="11"/>
            <color indexed="8"/>
            <rFont val="Helvetica Neue"/>
          </rPr>
          <t>tc={5C41BDDE-7B29-4C2D-BFC2-F7238C15A5A4}: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50" authorId="13" shapeId="0" xr:uid="{00000000-0006-0000-0200-00000E000000}">
      <text>
        <r>
          <rPr>
            <sz val="11"/>
            <color indexed="8"/>
            <rFont val="Helvetica Neue"/>
          </rPr>
          <t>tc={78BEFF9D-9F88-41A8-B352-4D6191CC89DD}: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51" authorId="14" shapeId="0" xr:uid="{00000000-0006-0000-0200-00000F000000}">
      <text>
        <r>
          <rPr>
            <sz val="11"/>
            <color indexed="8"/>
            <rFont val="Helvetica Neue"/>
          </rPr>
          <t>tc={4D62CD4E-EF7D-42E4-8F25-8BE2023AD382}: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53" authorId="15" shapeId="0" xr:uid="{00000000-0006-0000-0200-000010000000}">
      <text>
        <r>
          <rPr>
            <sz val="11"/>
            <color indexed="8"/>
            <rFont val="Helvetica Neue"/>
          </rPr>
          <t>tc={73CED782-D16A-4A06-858C-EB9E9E1CC2D8}: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54" authorId="16" shapeId="0" xr:uid="{00000000-0006-0000-0200-000011000000}">
      <text>
        <r>
          <rPr>
            <sz val="11"/>
            <color indexed="8"/>
            <rFont val="Helvetica Neue"/>
          </rPr>
          <t>tc={BF67219F-1647-4FD8-8CA1-8B006041AE2F}: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56" authorId="17" shapeId="0" xr:uid="{00000000-0006-0000-0200-000012000000}">
      <text>
        <r>
          <rPr>
            <sz val="11"/>
            <color indexed="8"/>
            <rFont val="Helvetica Neue"/>
          </rPr>
          <t>tc={AAE6F710-72CB-433D-A130-1F6F6D935A70}: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57" authorId="18" shapeId="0" xr:uid="{00000000-0006-0000-0200-000013000000}">
      <text>
        <r>
          <rPr>
            <sz val="11"/>
            <color indexed="8"/>
            <rFont val="Helvetica Neue"/>
          </rPr>
          <t>tc={82446F8A-A6E2-4889-8A99-42F2A2A3C26E}:
[Threaded comment]
Your version of Excel allows you to read this threaded comment; however, any edits to it will get removed if the file is opened in a newer version of Excel. Learn more: https://go.microsoft.com/fwlink/?linkid=870924
Comment:
    Budgeted for but not spent.</t>
        </r>
      </text>
    </comment>
    <comment ref="K60" authorId="19" shapeId="0" xr:uid="{00000000-0006-0000-0200-000014000000}">
      <text>
        <r>
          <rPr>
            <sz val="11"/>
            <color indexed="8"/>
            <rFont val="Helvetica Neue"/>
          </rPr>
          <t>tc={6B9E36E8-0DE3-43C2-B70A-A8872A12A0E9}:
[Threaded comment]
Your version of Excel allows you to read this threaded comment; however, any edits to it will get removed if the file is opened in a newer version of Excel. Learn more: https://go.microsoft.com/fwlink/?linkid=870924
Comment:
    Large discrepancy from last yr's actuals and budget.</t>
        </r>
      </text>
    </comment>
    <comment ref="K69" authorId="20" shapeId="0" xr:uid="{00000000-0006-0000-0200-000015000000}">
      <text>
        <r>
          <rPr>
            <sz val="11"/>
            <color indexed="8"/>
            <rFont val="Helvetica Neue"/>
          </rPr>
          <t>tc={5F8112EB-42A6-415B-8FDC-8CC5258BF3CB}:
[Threaded comment]
Your version of Excel allows you to read this threaded comment; however, any edits to it will get removed if the file is opened in a newer version of Excel. Learn more: https://go.microsoft.com/fwlink/?linkid=870924
Comment:
    Large discrepancy from last yr's actuals and budget.</t>
        </r>
      </text>
    </comment>
    <comment ref="K70" authorId="21" shapeId="0" xr:uid="{00000000-0006-0000-0200-000016000000}">
      <text>
        <r>
          <rPr>
            <sz val="11"/>
            <color indexed="8"/>
            <rFont val="Helvetica Neue"/>
          </rPr>
          <t>tc={9D6C561F-F4A7-4CD0-9D01-FA679B047F6D}:
[Threaded comment]
Your version of Excel allows you to read this threaded comment; however, any edits to it will get removed if the file is opened in a newer version of Excel. Learn more: https://go.microsoft.com/fwlink/?linkid=870924
Comment:
    discrepancy from last yr's actuals and budget.</t>
        </r>
      </text>
    </comment>
    <comment ref="K77" authorId="22" shapeId="0" xr:uid="{00000000-0006-0000-0200-000017000000}">
      <text>
        <r>
          <rPr>
            <sz val="11"/>
            <color indexed="8"/>
            <rFont val="Helvetica Neue"/>
          </rPr>
          <t>tc={3AB02492-727C-4B33-A32F-8CB82A2F729C}:
[Threaded comment]
Your version of Excel allows you to read this threaded comment; however, any edits to it will get removed if the file is opened in a newer version of Excel. Learn more: https://go.microsoft.com/fwlink/?linkid=870924
Comment:
    Budgeted but not spent</t>
        </r>
      </text>
    </comment>
    <comment ref="K78" authorId="23" shapeId="0" xr:uid="{00000000-0006-0000-0200-000018000000}">
      <text>
        <r>
          <rPr>
            <sz val="11"/>
            <color indexed="8"/>
            <rFont val="Helvetica Neue"/>
          </rPr>
          <t>tc={8B9F34A3-4ADF-429E-8379-F7DA98DBF779}:
[Threaded comment]
Your version of Excel allows you to read this threaded comment; however, any edits to it will get removed if the file is opened in a newer version of Excel. Learn more: https://go.microsoft.com/fwlink/?linkid=870924
Comment:
    Budgeted but not spent</t>
        </r>
      </text>
    </comment>
    <comment ref="K89" authorId="24" shapeId="0" xr:uid="{00000000-0006-0000-0200-000019000000}">
      <text>
        <r>
          <rPr>
            <sz val="11"/>
            <color indexed="8"/>
            <rFont val="Helvetica Neue"/>
          </rPr>
          <t>tc={8D4BCC32-C625-4DD4-B41E-BE19626CA6C6}:
[Threaded comment]
Your version of Excel allows you to read this threaded comment; however, any edits to it will get removed if the file is opened in a newer version of Excel. Learn more: https://go.microsoft.com/fwlink/?linkid=870924
Comment:
    Discrepancy</t>
        </r>
      </text>
    </comment>
    <comment ref="K101" authorId="25" shapeId="0" xr:uid="{00000000-0006-0000-0200-00001A000000}">
      <text>
        <r>
          <rPr>
            <sz val="11"/>
            <color indexed="8"/>
            <rFont val="Helvetica Neue"/>
          </rPr>
          <t>tc={ACE5E4D2-DF79-4B59-8CD6-55677CA78FDA}:
[Threaded comment]
Your version of Excel allows you to read this threaded comment; however, any edits to it will get removed if the file is opened in a newer version of Excel. Learn more: https://go.microsoft.com/fwlink/?linkid=870924
Comment:
    Significant discrepancy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Avpfinance</author>
  </authors>
  <commentList>
    <comment ref="J43" authorId="0" shapeId="0" xr:uid="{00000000-0006-0000-0400-000001000000}">
      <text>
        <r>
          <rPr>
            <sz val="11"/>
            <color indexed="8"/>
            <rFont val="Helvetica Neue"/>
          </rPr>
          <t>Avpfinance:
I think these subaccounts are incorrect/fail to match with the list</t>
        </r>
      </text>
    </comment>
  </commentList>
</comments>
</file>

<file path=xl/sharedStrings.xml><?xml version="1.0" encoding="utf-8"?>
<sst xmlns="http://schemas.openxmlformats.org/spreadsheetml/2006/main" count="2056" uniqueCount="1174">
  <si>
    <t>ALMA MATER SOCIETY OF UBC VANCOUVER (Fiscal Year 2019-2020)</t>
  </si>
  <si>
    <t>Revenues</t>
  </si>
  <si>
    <t>Expenses</t>
  </si>
  <si>
    <t>\</t>
  </si>
  <si>
    <t>Surplus/Deficit</t>
  </si>
  <si>
    <t>Total Revenues</t>
  </si>
  <si>
    <t>Total Expenditure</t>
  </si>
  <si>
    <t>Description</t>
  </si>
  <si>
    <t>Budget 2019/20</t>
  </si>
  <si>
    <t>Reforecast 18/19</t>
  </si>
  <si>
    <t>Budgeted 18/19</t>
  </si>
  <si>
    <t>Total Budgeted 17/18</t>
  </si>
  <si>
    <t>Total Budgeted 16/17</t>
  </si>
  <si>
    <t>$ Variance</t>
  </si>
  <si>
    <t>% Variance</t>
  </si>
  <si>
    <t>Provisional Actuals 18/19</t>
  </si>
  <si>
    <t>Actual 17/18</t>
  </si>
  <si>
    <t>Actual 16/17</t>
  </si>
  <si>
    <t xml:space="preserve">Actual 15/16 </t>
  </si>
  <si>
    <t xml:space="preserve">Actual 14/15 </t>
  </si>
  <si>
    <t>Total Reforecast 18/19</t>
  </si>
  <si>
    <t>15/16 Actual</t>
  </si>
  <si>
    <t xml:space="preserve">Percentage Received </t>
  </si>
  <si>
    <t>Revenues From Fees</t>
  </si>
  <si>
    <t>Budget 19/20 over Reforecast 18/19</t>
  </si>
  <si>
    <t>Student Government</t>
  </si>
  <si>
    <t>General Fee</t>
  </si>
  <si>
    <t>Student Council</t>
  </si>
  <si>
    <t>Capital Projects Fund Fee</t>
  </si>
  <si>
    <t>Executive Committee</t>
  </si>
  <si>
    <t>Student Aid Bursary Fee</t>
  </si>
  <si>
    <t>President</t>
  </si>
  <si>
    <t>Athletics and Intramural Fee</t>
  </si>
  <si>
    <t>Vice President AUA</t>
  </si>
  <si>
    <t>Ombudsperson Fee</t>
  </si>
  <si>
    <t>Vice President Admin</t>
  </si>
  <si>
    <t>Sexual Assault Support Services Fund</t>
  </si>
  <si>
    <t>Vice-President External</t>
  </si>
  <si>
    <t>SUB Renewal Fund</t>
  </si>
  <si>
    <t>Vice-President Finance</t>
  </si>
  <si>
    <t>WUSC Fee</t>
  </si>
  <si>
    <t>Ombudsperson</t>
  </si>
  <si>
    <t>Resource Groups Fee</t>
  </si>
  <si>
    <t>Archives &amp; Research</t>
  </si>
  <si>
    <t>$ -</t>
  </si>
  <si>
    <t>Lighter Footprint Fee (Sustainability)</t>
  </si>
  <si>
    <t>Elections and Referenda</t>
  </si>
  <si>
    <t>International Fee</t>
  </si>
  <si>
    <t>Policy Advisor</t>
  </si>
  <si>
    <t>Bike Kitchen Fee</t>
  </si>
  <si>
    <t>Total Student Government</t>
  </si>
  <si>
    <t>Clubs Benefit Fee</t>
  </si>
  <si>
    <t>Childcare Bursary Levy Fee</t>
  </si>
  <si>
    <t>Student Services</t>
  </si>
  <si>
    <t>CiTR Fee</t>
  </si>
  <si>
    <t>Senior Student SSM</t>
  </si>
  <si>
    <t>Student Legal Fund Fee</t>
  </si>
  <si>
    <t>Sexual Assault Support Centre</t>
  </si>
  <si>
    <t>Campus Culture &amp; Performance Fee</t>
  </si>
  <si>
    <t xml:space="preserve"> Student Services Manager</t>
  </si>
  <si>
    <t>Health and Dental Fee</t>
  </si>
  <si>
    <t>Advocacy Office</t>
  </si>
  <si>
    <t>Graduating Class</t>
  </si>
  <si>
    <t>Foodbank</t>
  </si>
  <si>
    <t>Undergraduate Constituency Fees</t>
  </si>
  <si>
    <t>Volunteer Avenue</t>
  </si>
  <si>
    <t>Sustainable Food Access Fee</t>
  </si>
  <si>
    <t>Safewalk</t>
  </si>
  <si>
    <t>Indigenous Student Fund</t>
  </si>
  <si>
    <t>Vice</t>
  </si>
  <si>
    <t>Permanent thrift shop on campus fee</t>
  </si>
  <si>
    <t>E-Hub</t>
  </si>
  <si>
    <t>Total Revenues from Fees</t>
  </si>
  <si>
    <t>Speakeasy</t>
  </si>
  <si>
    <t>Tutoring Services</t>
  </si>
  <si>
    <t>Other Revenues</t>
  </si>
  <si>
    <t>Total Student Services</t>
  </si>
  <si>
    <t>Add: $15K</t>
  </si>
  <si>
    <t>Businesses</t>
  </si>
  <si>
    <t>Administration</t>
  </si>
  <si>
    <t>Ancillary Services</t>
  </si>
  <si>
    <t xml:space="preserve"> Decrease by 123912.5 as we are not hiring for Senior Finance and Operations </t>
  </si>
  <si>
    <t>Investments</t>
  </si>
  <si>
    <t>Communications &amp; Design</t>
  </si>
  <si>
    <t>Gain on Disposal of Capital Assets</t>
  </si>
  <si>
    <t xml:space="preserve">Design </t>
  </si>
  <si>
    <t>Change: Increase by $5k</t>
  </si>
  <si>
    <t>Total Other Revenues</t>
  </si>
  <si>
    <t>Events Department</t>
  </si>
  <si>
    <t>Block Party</t>
  </si>
  <si>
    <t>Non-Discretionary Allocations</t>
  </si>
  <si>
    <t>First Week</t>
  </si>
  <si>
    <t>Farmade</t>
  </si>
  <si>
    <t>Welcome Back BBQ</t>
  </si>
  <si>
    <t>Health &amp; Dental Reserve Fund</t>
  </si>
  <si>
    <t>Total Ancillary Services</t>
  </si>
  <si>
    <t>Art Reserve Fund</t>
  </si>
  <si>
    <t>Capital Projects Fund</t>
  </si>
  <si>
    <t>Contingency</t>
  </si>
  <si>
    <t>CiTR Reserve Fund</t>
  </si>
  <si>
    <t>Total Expenditures</t>
  </si>
  <si>
    <t>Clubs Benefit Fund</t>
  </si>
  <si>
    <t>Constituency Aid Fund</t>
  </si>
  <si>
    <t>Intramurals &amp; Athletics Reserve Fund</t>
  </si>
  <si>
    <t>Competitive Athletics Fund</t>
  </si>
  <si>
    <t>Refugee Student Reserve Fund(WUSC)</t>
  </si>
  <si>
    <t>Resource Group Fund</t>
  </si>
  <si>
    <t>Sexual Assault Initiatives Fund</t>
  </si>
  <si>
    <t>Student Aid Bursary Fund</t>
  </si>
  <si>
    <t>Student Initiatives Fund</t>
  </si>
  <si>
    <t>Student Legal Fund</t>
  </si>
  <si>
    <t>Sustainability Projects Fund</t>
  </si>
  <si>
    <t>International Fund</t>
  </si>
  <si>
    <t>Childcare Fund</t>
  </si>
  <si>
    <t>Campus Culture &amp; Performance Fund</t>
  </si>
  <si>
    <t>Municipal Elections Fund</t>
  </si>
  <si>
    <t>Provincial Elections Fund</t>
  </si>
  <si>
    <t>Federal Elections Fund</t>
  </si>
  <si>
    <t>Total Non-Discretionary Allocations</t>
  </si>
  <si>
    <t>Transfers To The Budget</t>
  </si>
  <si>
    <t>SUB Repairs and Replacements</t>
  </si>
  <si>
    <t>Add Saif: $59,106</t>
  </si>
  <si>
    <t>Cost Centres (SUB Renewal Fund)</t>
  </si>
  <si>
    <t>External/University Fund</t>
  </si>
  <si>
    <t>Insurance Reserve</t>
  </si>
  <si>
    <t>Services</t>
  </si>
  <si>
    <t>International</t>
  </si>
  <si>
    <t>SUB Management Fund</t>
  </si>
  <si>
    <t>Canadian Student Horizons Group</t>
  </si>
  <si>
    <t>Total Transfers To The Budget</t>
  </si>
  <si>
    <t>Net Discretionary Income</t>
  </si>
  <si>
    <t>STUDENT FEES</t>
  </si>
  <si>
    <t>NUMBER OF MEMBERS:</t>
  </si>
  <si>
    <t>Estimates 2019-2020 Fiscal Year Prediction</t>
  </si>
  <si>
    <t>Estimates 2018-2019 Fiscal Year Prediction</t>
  </si>
  <si>
    <t>2018-2019 Fiscal Year</t>
  </si>
  <si>
    <t>2017-2018 Fiscal Year</t>
  </si>
  <si>
    <t>2016-2017 Fiscal Year</t>
  </si>
  <si>
    <t># of AMS Members</t>
  </si>
  <si>
    <t># on the Extended Health and Dental Plan</t>
  </si>
  <si>
    <t>REVENUES FROM FEES:</t>
  </si>
  <si>
    <t>Fees</t>
  </si>
  <si>
    <t>Expected Revenues</t>
  </si>
  <si>
    <t>Sexual Assault Support Services Fee</t>
  </si>
  <si>
    <t>SUB Renewal Building Fee</t>
  </si>
  <si>
    <t>Lighter Footprint Fee</t>
  </si>
  <si>
    <t>Campus Culture and Performance Fee</t>
  </si>
  <si>
    <t>Constituency Fees</t>
  </si>
  <si>
    <t>Varied</t>
  </si>
  <si>
    <t>Sustainable Food Access Fund fee</t>
  </si>
  <si>
    <t>TOTAL REVENUES FROM FEES</t>
  </si>
  <si>
    <t>AMS Fees Not in Revenues</t>
  </si>
  <si>
    <t>U-Pass (Per Term)</t>
  </si>
  <si>
    <t>Ubyssey</t>
  </si>
  <si>
    <t>TOTAL CHARGED TO AMS STUDENTS</t>
  </si>
  <si>
    <t>Executive Committee (Fiscal Year)</t>
  </si>
  <si>
    <t>Account Descriptions</t>
  </si>
  <si>
    <t>Account Code</t>
  </si>
  <si>
    <t>Reforecast 2018-2019</t>
  </si>
  <si>
    <t>Budget 2018-2019</t>
  </si>
  <si>
    <t>Reforecast 2017-2018</t>
  </si>
  <si>
    <t>Budget 2017-2018</t>
  </si>
  <si>
    <t>Budget 2016-2017</t>
  </si>
  <si>
    <t>Provisional Actuals 2018-2019</t>
  </si>
  <si>
    <t>Actuals 2017-2018</t>
  </si>
  <si>
    <t>Actuals 2016-2017</t>
  </si>
  <si>
    <t>Notes</t>
  </si>
  <si>
    <t>Miscellaneous</t>
  </si>
  <si>
    <t>063-7107-00</t>
  </si>
  <si>
    <t>Photocopying &amp; Administrative</t>
  </si>
  <si>
    <t>063-7112-00</t>
  </si>
  <si>
    <t>Conferences &amp; Official Business</t>
  </si>
  <si>
    <t>063-7114-00</t>
  </si>
  <si>
    <t>Promotion and Advertising</t>
  </si>
  <si>
    <t>063-7209-00</t>
  </si>
  <si>
    <t>Volunteer/Staff Appreciation</t>
  </si>
  <si>
    <t>063-7494-00</t>
  </si>
  <si>
    <t>Special Projects</t>
  </si>
  <si>
    <t>063-7510-00</t>
  </si>
  <si>
    <t>Just Desserts</t>
  </si>
  <si>
    <t>063-7512-00</t>
  </si>
  <si>
    <t>Great Trekker</t>
  </si>
  <si>
    <t>063-7513-00</t>
  </si>
  <si>
    <t>Executive Team Building</t>
  </si>
  <si>
    <t>063-7520-00</t>
  </si>
  <si>
    <t>Executive Retreat</t>
  </si>
  <si>
    <t>063-7226-00</t>
  </si>
  <si>
    <t>Community Involvement</t>
  </si>
  <si>
    <t>063-7525-00</t>
  </si>
  <si>
    <t>Office Staff Appreciation</t>
  </si>
  <si>
    <t>063-7526-00</t>
  </si>
  <si>
    <t>Student Leadership Conference</t>
  </si>
  <si>
    <t>063-7530-00</t>
  </si>
  <si>
    <t>All Presidents Dinner</t>
  </si>
  <si>
    <t>063-7540-00</t>
  </si>
  <si>
    <t>Teleconferencing Equipment</t>
  </si>
  <si>
    <t>063-7219-00</t>
  </si>
  <si>
    <t>Total</t>
  </si>
  <si>
    <t>Salary</t>
  </si>
  <si>
    <t>064-7010-00</t>
  </si>
  <si>
    <t>Benefits</t>
  </si>
  <si>
    <t>064-7020-00</t>
  </si>
  <si>
    <t>Staff Meal Plan</t>
  </si>
  <si>
    <t>064-7030-00</t>
  </si>
  <si>
    <t>Telephone/Fax</t>
  </si>
  <si>
    <t>064-7103-00</t>
  </si>
  <si>
    <t>Office Supplies</t>
  </si>
  <si>
    <t>064-7105-00</t>
  </si>
  <si>
    <t>Postage/Courier</t>
  </si>
  <si>
    <t>064-7106-00</t>
  </si>
  <si>
    <t>064-7107-00</t>
  </si>
  <si>
    <t>064-7112-00</t>
  </si>
  <si>
    <t>Conference &amp; Official Business</t>
  </si>
  <si>
    <t>064-7114-00</t>
  </si>
  <si>
    <t>Impact Grant</t>
  </si>
  <si>
    <t>064-7075-00</t>
  </si>
  <si>
    <t>Furniture &amp; Equipment</t>
  </si>
  <si>
    <t>064-7219-00</t>
  </si>
  <si>
    <t>Computer Hardware/Software</t>
  </si>
  <si>
    <t>064-7333-00</t>
  </si>
  <si>
    <t>Staff Appreciation</t>
  </si>
  <si>
    <t>064-7494-00</t>
  </si>
  <si>
    <t>NOT here but on TB</t>
  </si>
  <si>
    <t>Partnership Building</t>
  </si>
  <si>
    <t>064-7514-00</t>
  </si>
  <si>
    <t>Not on TB</t>
  </si>
  <si>
    <t>064-7222-00</t>
  </si>
  <si>
    <t>***Presidents Assistants***</t>
  </si>
  <si>
    <t>4 staff</t>
  </si>
  <si>
    <t>064-7010-01</t>
  </si>
  <si>
    <t>Employee Benefits</t>
  </si>
  <si>
    <t>064-7020-01</t>
  </si>
  <si>
    <t>064-7105-01</t>
  </si>
  <si>
    <t>064-7107-01</t>
  </si>
  <si>
    <t>064-7112-01</t>
  </si>
  <si>
    <t>064-7333-01</t>
  </si>
  <si>
    <t>Volunteer / Staff Appreciation</t>
  </si>
  <si>
    <t>064-7494-01</t>
  </si>
  <si>
    <t>***Communications Planning Group***</t>
  </si>
  <si>
    <t>Food and Refreshments</t>
  </si>
  <si>
    <t>064-7081-02</t>
  </si>
  <si>
    <t>Volunteer Appreciation</t>
  </si>
  <si>
    <t>064-7494-02</t>
  </si>
  <si>
    <t>064-7510-02</t>
  </si>
  <si>
    <t>Time Capsule Ceremony</t>
  </si>
  <si>
    <t>064-7074-02</t>
  </si>
  <si>
    <t>***Student Life Initiatives***</t>
  </si>
  <si>
    <t>15 hrs</t>
  </si>
  <si>
    <t>063-7010-01</t>
  </si>
  <si>
    <t>063-7020-01</t>
  </si>
  <si>
    <t>***Policy and Community Engagement***</t>
  </si>
  <si>
    <t>Cutt by $5,009</t>
  </si>
  <si>
    <t>063-7010-02</t>
  </si>
  <si>
    <t>063-7020-02</t>
  </si>
  <si>
    <t>***Indigenous Affairs***</t>
  </si>
  <si>
    <t>15hrs</t>
  </si>
  <si>
    <t>064-7010-03</t>
  </si>
  <si>
    <t>064-7020-03</t>
  </si>
  <si>
    <t>***First Year Committee***</t>
  </si>
  <si>
    <t>Revenue</t>
  </si>
  <si>
    <t>064-5070-06</t>
  </si>
  <si>
    <t>Expense</t>
  </si>
  <si>
    <t>064-7107-06</t>
  </si>
  <si>
    <t>VP Academic and University Affairs</t>
  </si>
  <si>
    <t>Standard</t>
  </si>
  <si>
    <t>065-7010-00</t>
  </si>
  <si>
    <t>065-7020-00</t>
  </si>
  <si>
    <t>065-7103-00</t>
  </si>
  <si>
    <t>6 Notebooks, Pens, etc.</t>
  </si>
  <si>
    <t>065-7105-00</t>
  </si>
  <si>
    <t>065-7106-00</t>
  </si>
  <si>
    <t>Adjusted after increased actuals, car travel, coffee meetings, etc.</t>
  </si>
  <si>
    <t>065-7107-00</t>
  </si>
  <si>
    <t>065-7112-00</t>
  </si>
  <si>
    <t>Standard: $2000</t>
  </si>
  <si>
    <t>065-7114-00</t>
  </si>
  <si>
    <t>Furniture and Equipment</t>
  </si>
  <si>
    <t>065-7219-00</t>
  </si>
  <si>
    <t xml:space="preserve">Amortization &amp; Depreciation </t>
  </si>
  <si>
    <t>065-7299-00</t>
  </si>
  <si>
    <t>065-7333-00</t>
  </si>
  <si>
    <t>065-7222-00</t>
  </si>
  <si>
    <t>***VP Academic Staff***</t>
  </si>
  <si>
    <t>2 Staff at Teir 2 20 Hrs/week Full year, 1 Staff at Teir 1 20 Hrs/week Full Year, 2 Staff at Teir 1 15 Hrs/week Fall Start</t>
  </si>
  <si>
    <t>065-7010-01</t>
  </si>
  <si>
    <t>065-7020-01</t>
  </si>
  <si>
    <t>065-7030-01</t>
  </si>
  <si>
    <t>065-7081-01</t>
  </si>
  <si>
    <t>065-7103-01</t>
  </si>
  <si>
    <t>2 Notebooks each, Pens, etc.</t>
  </si>
  <si>
    <t>065-7105-01</t>
  </si>
  <si>
    <t>065-7107-01</t>
  </si>
  <si>
    <t>065-7112-01</t>
  </si>
  <si>
    <t>065-7333-01</t>
  </si>
  <si>
    <t>$200 Per Staff Member for Professional Development (ie confrence in vancouver/victoria), ex. Trip to Kelowna to Study Aboriginal Student Support Program for Campaigns and Outreach Commissioner</t>
  </si>
  <si>
    <t>Special and Professional</t>
  </si>
  <si>
    <t>065-7204-01</t>
  </si>
  <si>
    <t>Adjusted for more staff members and last years actuals, includes block party and welcome back bbq tickets</t>
  </si>
  <si>
    <t>065-7494-01</t>
  </si>
  <si>
    <t>***Special Projects***</t>
  </si>
  <si>
    <t>Money for Annual Powwow ($3500), any savings will go towards graduate student research on UBC Policy issues</t>
  </si>
  <si>
    <t>Research &amp; Community Projects</t>
  </si>
  <si>
    <t>065-7510-01</t>
  </si>
  <si>
    <t>Student Senate Caucus Campaign/Outreach Support ($1000), VP Academic Caucus ($500), AMS Indigenous Sub-Committee ($500), Student Issues/Equity Caucus ($500), Fall Reading Break Campaign ($250), Undergraduate Research Working Group Workshop ($250)</t>
  </si>
  <si>
    <t>Academic Projects</t>
  </si>
  <si>
    <t>065-7515-01</t>
  </si>
  <si>
    <t>Cutt $1K</t>
  </si>
  <si>
    <t>Academic Experience Survey</t>
  </si>
  <si>
    <t>065-7516-01</t>
  </si>
  <si>
    <t>Sexual Violence Awareness Campaign ($1500), Policy 73 Consultation ($250), SVPREP Consultation ($500), Indigenous Student Outreach ($500), #TextbookBroke Campaign ($250)</t>
  </si>
  <si>
    <t>University Affairs Project</t>
  </si>
  <si>
    <t>065-7517-01</t>
  </si>
  <si>
    <t>University Experience Survey</t>
  </si>
  <si>
    <t>065-7518-01</t>
  </si>
  <si>
    <t>VP Adminstration</t>
  </si>
  <si>
    <t>Not temp but on TB</t>
  </si>
  <si>
    <t>080-7001-00</t>
  </si>
  <si>
    <t>080-7010-00</t>
  </si>
  <si>
    <t>080-7020-00</t>
  </si>
  <si>
    <t>080-7103-00</t>
  </si>
  <si>
    <t>080-7105-00</t>
  </si>
  <si>
    <t>080-7106-00</t>
  </si>
  <si>
    <t>080-7107-00</t>
  </si>
  <si>
    <t>080-7112-00</t>
  </si>
  <si>
    <t>080-7114-00</t>
  </si>
  <si>
    <t>080-7219-00</t>
  </si>
  <si>
    <t>080-7333-00</t>
  </si>
  <si>
    <t>080-7514-00</t>
  </si>
  <si>
    <t>080-7030-00</t>
  </si>
  <si>
    <t>080-7494-00</t>
  </si>
  <si>
    <t>***Student Engagement***</t>
  </si>
  <si>
    <t>Salary &amp; Wages</t>
  </si>
  <si>
    <t>080-7010-01</t>
  </si>
  <si>
    <t>080-7020-01</t>
  </si>
  <si>
    <t>080-7103-01</t>
  </si>
  <si>
    <t>080-7105-01</t>
  </si>
  <si>
    <t>080-7112-01</t>
  </si>
  <si>
    <t>080-7333-01</t>
  </si>
  <si>
    <t>Event Expenses</t>
  </si>
  <si>
    <t>080-7150-01</t>
  </si>
  <si>
    <t>***Clubs***</t>
  </si>
  <si>
    <t>Club Days</t>
  </si>
  <si>
    <t>080-7011-01</t>
  </si>
  <si>
    <t>Executive Orientation</t>
  </si>
  <si>
    <t>080-7490-01</t>
  </si>
  <si>
    <t>Club Events</t>
  </si>
  <si>
    <t>080-7090-01</t>
  </si>
  <si>
    <t>Clubs Newsletter Provider</t>
  </si>
  <si>
    <t>NEW</t>
  </si>
  <si>
    <t>Contract Signing Software</t>
  </si>
  <si>
    <t>Advertising</t>
  </si>
  <si>
    <t>080-7209-01</t>
  </si>
  <si>
    <t xml:space="preserve">Clubs and Societies Systems </t>
  </si>
  <si>
    <t>***Clubs Resource Centre***</t>
  </si>
  <si>
    <t>Revenue Account</t>
  </si>
  <si>
    <t>080-5070-00</t>
  </si>
  <si>
    <t>Miscellaneous &amp; Repairs</t>
  </si>
  <si>
    <t>080-7220-01</t>
  </si>
  <si>
    <t>Printing Service</t>
  </si>
  <si>
    <t>***Art Gallery***</t>
  </si>
  <si>
    <t>Salaries &amp; Wages</t>
  </si>
  <si>
    <t>080-7010-03</t>
  </si>
  <si>
    <t>080-7020-03</t>
  </si>
  <si>
    <t>Telephone</t>
  </si>
  <si>
    <t>080-7103-03</t>
  </si>
  <si>
    <t>Not Temp but on TB</t>
  </si>
  <si>
    <t>Office Suppies</t>
  </si>
  <si>
    <t>080-7105-03</t>
  </si>
  <si>
    <t>Advertising &amp; Promotion</t>
  </si>
  <si>
    <t>080-7209-03</t>
  </si>
  <si>
    <t>Repairs &amp; Maintenance</t>
  </si>
  <si>
    <t>080-7220-03</t>
  </si>
  <si>
    <t>Alarm Maintenance</t>
  </si>
  <si>
    <t>080-7451-03</t>
  </si>
  <si>
    <t>Curatorial Project</t>
  </si>
  <si>
    <t>080-7221-03</t>
  </si>
  <si>
    <t>080-7107-03</t>
  </si>
  <si>
    <t>Damaged Art</t>
  </si>
  <si>
    <t>080-7223-03</t>
  </si>
  <si>
    <t>080-7494-03</t>
  </si>
  <si>
    <t>Events &amp; Reception</t>
  </si>
  <si>
    <t>080-7224-03</t>
  </si>
  <si>
    <t>Arts Rental Program Revenue</t>
  </si>
  <si>
    <t>080-5040-03</t>
  </si>
  <si>
    <t>***Sustainability***</t>
  </si>
  <si>
    <t>080-7010-05</t>
  </si>
  <si>
    <t>080-7020-05</t>
  </si>
  <si>
    <t>Office Supplies/Postage</t>
  </si>
  <si>
    <t>080-7105-05</t>
  </si>
  <si>
    <t>Project Maintenance</t>
  </si>
  <si>
    <t>080-7107-05</t>
  </si>
  <si>
    <t>080-7112-05</t>
  </si>
  <si>
    <t>080-7209-05</t>
  </si>
  <si>
    <t>080-7494-05</t>
  </si>
  <si>
    <t>Nest Animation</t>
  </si>
  <si>
    <t>080-7030-06</t>
  </si>
  <si>
    <t>Art Rental Program</t>
  </si>
  <si>
    <t>080-7040-06</t>
  </si>
  <si>
    <t xml:space="preserve">Clubs and Constituencies Systems </t>
  </si>
  <si>
    <t>Contigency Funding</t>
  </si>
  <si>
    <t>Nest Review</t>
  </si>
  <si>
    <t>080-7080-06</t>
  </si>
  <si>
    <t>VP External</t>
  </si>
  <si>
    <t>068-7010-00</t>
  </si>
  <si>
    <t>068-7020-00</t>
  </si>
  <si>
    <t>068-7103-00</t>
  </si>
  <si>
    <t>068-7105-00</t>
  </si>
  <si>
    <t>068-7106-00</t>
  </si>
  <si>
    <t>**more meetings</t>
  </si>
  <si>
    <t>068-7107-00</t>
  </si>
  <si>
    <t>068-7112-00</t>
  </si>
  <si>
    <t>068-7114-00</t>
  </si>
  <si>
    <t>068-7219-00</t>
  </si>
  <si>
    <t>**Check all</t>
  </si>
  <si>
    <t>068-7030-00</t>
  </si>
  <si>
    <t>Computer Hardware and Software</t>
  </si>
  <si>
    <t>068-7333-00</t>
  </si>
  <si>
    <t>***External Commission***</t>
  </si>
  <si>
    <t>068-7010-02</t>
  </si>
  <si>
    <t>068-7020-02</t>
  </si>
  <si>
    <t>068-7103-02</t>
  </si>
  <si>
    <t>068-7105-02</t>
  </si>
  <si>
    <t>Miscellaneous Expense</t>
  </si>
  <si>
    <t>068-7107-02</t>
  </si>
  <si>
    <t>068-7494-02</t>
  </si>
  <si>
    <t>Lobbying expense</t>
  </si>
  <si>
    <t>068-751-02</t>
  </si>
  <si>
    <t>**replace parts</t>
  </si>
  <si>
    <t>068-7333-02</t>
  </si>
  <si>
    <t>***Student Union Development Summit***</t>
  </si>
  <si>
    <t>072-7010-00</t>
  </si>
  <si>
    <t>072-7020-00</t>
  </si>
  <si>
    <t>**tickets</t>
  </si>
  <si>
    <t>Membership Fees(from tickets sale)</t>
  </si>
  <si>
    <t>072-5050-00</t>
  </si>
  <si>
    <t>Sponsorship Revenue</t>
  </si>
  <si>
    <t>072-5060-00</t>
  </si>
  <si>
    <t>Gage Accomodations Revenue</t>
  </si>
  <si>
    <t>072-5460-00</t>
  </si>
  <si>
    <t>Set-Up Fees</t>
  </si>
  <si>
    <t>072-7015-00</t>
  </si>
  <si>
    <t>Event Venue &amp; Equipment Rentals</t>
  </si>
  <si>
    <t>072-7430-00</t>
  </si>
  <si>
    <t>072-7107-00</t>
  </si>
  <si>
    <t>072-7112-00</t>
  </si>
  <si>
    <t>***Double</t>
  </si>
  <si>
    <t>Facilitators Honoraria</t>
  </si>
  <si>
    <t>072-7175-00</t>
  </si>
  <si>
    <t>Promotion &amp; Advertising</t>
  </si>
  <si>
    <t>072-7209-00</t>
  </si>
  <si>
    <t>072-7219-00</t>
  </si>
  <si>
    <t>**confirm</t>
  </si>
  <si>
    <t>Delegate Packages</t>
  </si>
  <si>
    <t>072-7310-00</t>
  </si>
  <si>
    <t>**Sponsors</t>
  </si>
  <si>
    <t>Transportation</t>
  </si>
  <si>
    <t>072-7318-00</t>
  </si>
  <si>
    <t>Catering Expenses</t>
  </si>
  <si>
    <t>072-7466-00</t>
  </si>
  <si>
    <t>Accommodations</t>
  </si>
  <si>
    <t>072-7468-00</t>
  </si>
  <si>
    <t>Lodge Food</t>
  </si>
  <si>
    <t>072-7470-00</t>
  </si>
  <si>
    <t>Transportation to Lodge</t>
  </si>
  <si>
    <t>072-7471-00</t>
  </si>
  <si>
    <t>072-7494-00</t>
  </si>
  <si>
    <t>***Entertaiment</t>
  </si>
  <si>
    <t>Social Activities</t>
  </si>
  <si>
    <t>072-7510-00</t>
  </si>
  <si>
    <t>Contingency for SUDS</t>
  </si>
  <si>
    <t>072-7422-00</t>
  </si>
  <si>
    <t>***Figure out Later</t>
  </si>
  <si>
    <t>Speaker Series</t>
  </si>
  <si>
    <t>068-7202-02</t>
  </si>
  <si>
    <t>On-Campus Outreach and Campaigns</t>
  </si>
  <si>
    <t>068-7518-02</t>
  </si>
  <si>
    <t>***Figure out later</t>
  </si>
  <si>
    <t>Research</t>
  </si>
  <si>
    <t>068-7510-02</t>
  </si>
  <si>
    <t>068-7517-02</t>
  </si>
  <si>
    <t>Upass Business case</t>
  </si>
  <si>
    <t>VP Finance</t>
  </si>
  <si>
    <t>066-7010-00</t>
  </si>
  <si>
    <t>066-7020-00</t>
  </si>
  <si>
    <t>066-7103-00</t>
  </si>
  <si>
    <t>066-7105-00</t>
  </si>
  <si>
    <t>066-7106-00</t>
  </si>
  <si>
    <t>066-7107-00</t>
  </si>
  <si>
    <t>066-7112-00</t>
  </si>
  <si>
    <t>Standard amount</t>
  </si>
  <si>
    <t>066-7114-00</t>
  </si>
  <si>
    <t>066-7333-00</t>
  </si>
  <si>
    <t>066-7219-00</t>
  </si>
  <si>
    <t>066-7514-00</t>
  </si>
  <si>
    <t>***Staff***</t>
  </si>
  <si>
    <t>5 staff</t>
  </si>
  <si>
    <t>066-7010-01</t>
  </si>
  <si>
    <t>066-7020-01</t>
  </si>
  <si>
    <t>066-7030-01</t>
  </si>
  <si>
    <t>Staff Conferences &amp; Official Business</t>
  </si>
  <si>
    <t>066-7114-01</t>
  </si>
  <si>
    <t>066-7103-01</t>
  </si>
  <si>
    <t>066-7105-01</t>
  </si>
  <si>
    <t>066-7107-01</t>
  </si>
  <si>
    <t>066-7112-01</t>
  </si>
  <si>
    <t>066-7494-01</t>
  </si>
  <si>
    <t>Exec Orientations/**Video Orientation**</t>
  </si>
  <si>
    <t>066-7600-01</t>
  </si>
  <si>
    <t>Computer Software/Hardware</t>
  </si>
  <si>
    <t>066-7333-01</t>
  </si>
  <si>
    <t>***Finance Department***</t>
  </si>
  <si>
    <t>Cutt $500</t>
  </si>
  <si>
    <t>066-7081-02</t>
  </si>
  <si>
    <t>Outreach Programs</t>
  </si>
  <si>
    <t>066-7518-02</t>
  </si>
  <si>
    <t>Food &amp; Refreshments</t>
  </si>
  <si>
    <t>066-7510-02</t>
  </si>
  <si>
    <t>-</t>
  </si>
  <si>
    <t>**C&amp; S</t>
  </si>
  <si>
    <t>066-7494-02</t>
  </si>
  <si>
    <t>Total EC</t>
  </si>
  <si>
    <t>Total President</t>
  </si>
  <si>
    <t>Total VPAUA</t>
  </si>
  <si>
    <t>Total VP Admin</t>
  </si>
  <si>
    <t>Total VPX</t>
  </si>
  <si>
    <t>Total VPF</t>
  </si>
  <si>
    <t>Total Executive</t>
  </si>
  <si>
    <t>Student Government (Fiscal Year)</t>
  </si>
  <si>
    <t>Council</t>
  </si>
  <si>
    <t>050-7010-00</t>
  </si>
  <si>
    <t>Employee Benefit</t>
  </si>
  <si>
    <t>050-7081-00</t>
  </si>
  <si>
    <t>050-7105-00</t>
  </si>
  <si>
    <t>050-7106-00</t>
  </si>
  <si>
    <t>050-7107-00</t>
  </si>
  <si>
    <t>050-7112-00</t>
  </si>
  <si>
    <t>Speaker Honoraria</t>
  </si>
  <si>
    <t>050-7175-00</t>
  </si>
  <si>
    <t>Cutt $5K</t>
  </si>
  <si>
    <t>Legal Fees</t>
  </si>
  <si>
    <t>050-7313-00</t>
  </si>
  <si>
    <t>Council Appreciation</t>
  </si>
  <si>
    <t>050-7321-00</t>
  </si>
  <si>
    <t>050-7494-00</t>
  </si>
  <si>
    <t>Team Building and Development</t>
  </si>
  <si>
    <t>050-7220-00</t>
  </si>
  <si>
    <t>050-7318-00</t>
  </si>
  <si>
    <t>Photograph Composite</t>
  </si>
  <si>
    <t>050-7109-00</t>
  </si>
  <si>
    <t>050-7510-00</t>
  </si>
  <si>
    <t>***Annual General Meeting***</t>
  </si>
  <si>
    <t>Food and Refreshment</t>
  </si>
  <si>
    <t>050-7081-09</t>
  </si>
  <si>
    <t>Photocopying and Administrative</t>
  </si>
  <si>
    <t>050-7112-09</t>
  </si>
  <si>
    <t>Advertising &amp; Promotions</t>
  </si>
  <si>
    <t>050-7209-09</t>
  </si>
  <si>
    <t>***Advocacy Committee***</t>
  </si>
  <si>
    <t>050-7010-17</t>
  </si>
  <si>
    <t>***Governance Committee***</t>
  </si>
  <si>
    <t>050-7010-18</t>
  </si>
  <si>
    <t>***Student Life Committee***</t>
  </si>
  <si>
    <t>050-7010-20</t>
  </si>
  <si>
    <t>050-7081-20</t>
  </si>
  <si>
    <t>Photocopying &amp; Admin</t>
  </si>
  <si>
    <t>050-7112-20</t>
  </si>
  <si>
    <t>Project Expense</t>
  </si>
  <si>
    <t>050-7107-20</t>
  </si>
  <si>
    <t>Project Revenue</t>
  </si>
  <si>
    <t>050-5070-20</t>
  </si>
  <si>
    <t>***Brewery Committee***</t>
  </si>
  <si>
    <t>050-7010-21</t>
  </si>
  <si>
    <t>***Human Resoruce Committee***</t>
  </si>
  <si>
    <t>050-7010-19</t>
  </si>
  <si>
    <t>Council Orientation</t>
  </si>
  <si>
    <t>090-7079-00</t>
  </si>
  <si>
    <t>090-7107-00</t>
  </si>
  <si>
    <t>090-7318-00</t>
  </si>
  <si>
    <t>Catering Expense</t>
  </si>
  <si>
    <t>090-7466-00</t>
  </si>
  <si>
    <t>Accommodation</t>
  </si>
  <si>
    <t>090-7468-00</t>
  </si>
  <si>
    <t>Entertainment Expense</t>
  </si>
  <si>
    <t>090-7620-00</t>
  </si>
  <si>
    <t>UBC Presidents Fund</t>
  </si>
  <si>
    <t>090-5052-00</t>
  </si>
  <si>
    <t>061-7010-00</t>
  </si>
  <si>
    <t>061-7020-00</t>
  </si>
  <si>
    <t>061-7103-00</t>
  </si>
  <si>
    <t>061-7105-00</t>
  </si>
  <si>
    <t>061-7107-00</t>
  </si>
  <si>
    <t>061-7112-00</t>
  </si>
  <si>
    <t>061-7114-00</t>
  </si>
  <si>
    <t>061-7209-00</t>
  </si>
  <si>
    <t>Professional Development</t>
  </si>
  <si>
    <t>061-7215-00</t>
  </si>
  <si>
    <t>061-7333-00</t>
  </si>
  <si>
    <t>061-7494-00</t>
  </si>
  <si>
    <t>061-7510-00</t>
  </si>
  <si>
    <t>Additional Expenses - AMS</t>
  </si>
  <si>
    <t>Elections</t>
  </si>
  <si>
    <t>Add: $55</t>
  </si>
  <si>
    <t>079-7010-00</t>
  </si>
  <si>
    <t>Ads &amp; Promo: $220</t>
  </si>
  <si>
    <t>079-7020-00</t>
  </si>
  <si>
    <t>079-7081-00</t>
  </si>
  <si>
    <t>079-7103-00</t>
  </si>
  <si>
    <t>079-7105-00</t>
  </si>
  <si>
    <t>079-7107-00</t>
  </si>
  <si>
    <t>079-7112-00</t>
  </si>
  <si>
    <t>079-7209-00</t>
  </si>
  <si>
    <t>079-7219-00</t>
  </si>
  <si>
    <t>079-7494-00</t>
  </si>
  <si>
    <t>Candidate Ref: $8,150</t>
  </si>
  <si>
    <t>Candidate Refunds</t>
  </si>
  <si>
    <t>079-7511-00</t>
  </si>
  <si>
    <t>Forums</t>
  </si>
  <si>
    <t>079-7515-00</t>
  </si>
  <si>
    <t>Yes/No Committee</t>
  </si>
  <si>
    <t>079-7516-00</t>
  </si>
  <si>
    <t>Constituency Referenda</t>
  </si>
  <si>
    <t>079-7517-00</t>
  </si>
  <si>
    <t>Referenda</t>
  </si>
  <si>
    <t>079-7010-02</t>
  </si>
  <si>
    <t>079-7020-02</t>
  </si>
  <si>
    <t>079-7081-02</t>
  </si>
  <si>
    <t>079-7105-02</t>
  </si>
  <si>
    <t>079-7107-02</t>
  </si>
  <si>
    <t>079-7112-02</t>
  </si>
  <si>
    <t>079-7209-02</t>
  </si>
  <si>
    <t>079-7219-02</t>
  </si>
  <si>
    <t>079-7494-02</t>
  </si>
  <si>
    <t>Total Council</t>
  </si>
  <si>
    <t>Total Ombudsperson</t>
  </si>
  <si>
    <t>Total Elections &amp; Referenda</t>
  </si>
  <si>
    <t>Total Student Govt.</t>
  </si>
  <si>
    <t>Student Services (Fiscal Year)</t>
  </si>
  <si>
    <t>Provisional Actuals 2018 - 2019</t>
  </si>
  <si>
    <t>Actuals 2017 - 2018</t>
  </si>
  <si>
    <t>Senior Manager Student Services</t>
  </si>
  <si>
    <t>070-7010-00</t>
  </si>
  <si>
    <t>070-7020-00</t>
  </si>
  <si>
    <t>Telephone &amp; Fax</t>
  </si>
  <si>
    <t>070-7103-00</t>
  </si>
  <si>
    <t>070-7105-00</t>
  </si>
  <si>
    <t>Miscellaneous Expenses</t>
  </si>
  <si>
    <t>070-7107-00</t>
  </si>
  <si>
    <t>Photocopying</t>
  </si>
  <si>
    <t>070-7112-00</t>
  </si>
  <si>
    <t>Conference &amp; official business</t>
  </si>
  <si>
    <t>070-7114-00</t>
  </si>
  <si>
    <t>Events Expenses</t>
  </si>
  <si>
    <t>070-7150-00</t>
  </si>
  <si>
    <t>070-7204-00</t>
  </si>
  <si>
    <t>Subscriptions</t>
  </si>
  <si>
    <t>707-7210-00</t>
  </si>
  <si>
    <t>Staff Development</t>
  </si>
  <si>
    <t>070-7215-00</t>
  </si>
  <si>
    <t>070-7219-00</t>
  </si>
  <si>
    <t>Staff Recruiting</t>
  </si>
  <si>
    <t>070-7230-00</t>
  </si>
  <si>
    <t>Computer hardware/Software</t>
  </si>
  <si>
    <t>070-7333-00</t>
  </si>
  <si>
    <t>070-7494-00</t>
  </si>
  <si>
    <t>Cutt $2K</t>
  </si>
  <si>
    <t>070-7510-00</t>
  </si>
  <si>
    <t>Sexual Assualt Support Centre</t>
  </si>
  <si>
    <t xml:space="preserve">Salaries &amp; Wages </t>
  </si>
  <si>
    <t>189-7010-00</t>
  </si>
  <si>
    <t>189-7020-00</t>
  </si>
  <si>
    <t>189-7103-00</t>
  </si>
  <si>
    <t>189-7105-00</t>
  </si>
  <si>
    <t>189-7106-00</t>
  </si>
  <si>
    <t>189-7107-00</t>
  </si>
  <si>
    <t>Travel Expense</t>
  </si>
  <si>
    <t>189-7114-00</t>
  </si>
  <si>
    <t>Program/Event Expense</t>
  </si>
  <si>
    <t>189-7150-00</t>
  </si>
  <si>
    <t>189-7112-00</t>
  </si>
  <si>
    <t>189-7215-00</t>
  </si>
  <si>
    <t>189-7204-00</t>
  </si>
  <si>
    <t>189-7209-00</t>
  </si>
  <si>
    <t>Library</t>
  </si>
  <si>
    <t>189-7210-00</t>
  </si>
  <si>
    <t>189-7219-00</t>
  </si>
  <si>
    <t>Campaign Materials</t>
  </si>
  <si>
    <t>189-7300-00</t>
  </si>
  <si>
    <t>Volunteer Training</t>
  </si>
  <si>
    <t>189-7494-00</t>
  </si>
  <si>
    <t>189-7495-00</t>
  </si>
  <si>
    <t>Legal Expenses</t>
  </si>
  <si>
    <t>189-7160-00</t>
  </si>
  <si>
    <t>Health Supplioes</t>
  </si>
  <si>
    <t>Sub-Total</t>
  </si>
  <si>
    <t>***Advocacy***</t>
  </si>
  <si>
    <t>189-7010-05</t>
  </si>
  <si>
    <t>189-7020-05</t>
  </si>
  <si>
    <t>189-7105-05</t>
  </si>
  <si>
    <t>189-7106-05</t>
  </si>
  <si>
    <t>189-7107-05</t>
  </si>
  <si>
    <t>189-7204-05</t>
  </si>
  <si>
    <t>189-7209-05</t>
  </si>
  <si>
    <t>189-7219-05</t>
  </si>
  <si>
    <t>189-7300-05</t>
  </si>
  <si>
    <t>189-7495-05</t>
  </si>
  <si>
    <t>Staff/Volunteer Appreciation</t>
  </si>
  <si>
    <t>189-7494-05</t>
  </si>
  <si>
    <t>Workshop and Events</t>
  </si>
  <si>
    <t>189-7301-05</t>
  </si>
  <si>
    <t>***SASC Outreach and Volunteer***</t>
  </si>
  <si>
    <t>189-7010-03</t>
  </si>
  <si>
    <t>189-7020-03</t>
  </si>
  <si>
    <t>189-7105-03</t>
  </si>
  <si>
    <t>189-7106-03</t>
  </si>
  <si>
    <t>189-7107-03</t>
  </si>
  <si>
    <t>189-7204-03</t>
  </si>
  <si>
    <t>189-7209-03</t>
  </si>
  <si>
    <t>189-7219-03</t>
  </si>
  <si>
    <t>189-7300-03</t>
  </si>
  <si>
    <t>189-7494-03</t>
  </si>
  <si>
    <t>189-7495-03</t>
  </si>
  <si>
    <t>189-7301-03</t>
  </si>
  <si>
    <t>***Healthy Masculinities Leadership Program***</t>
  </si>
  <si>
    <t>189-7010-04</t>
  </si>
  <si>
    <t>Health Masculinities Program</t>
  </si>
  <si>
    <t>189-7510-01</t>
  </si>
  <si>
    <t>189-7105-04</t>
  </si>
  <si>
    <t>189-7209-04</t>
  </si>
  <si>
    <t>189-7300-04</t>
  </si>
  <si>
    <t>189-7494-04</t>
  </si>
  <si>
    <t>189-7495-04</t>
  </si>
  <si>
    <t>Workshops</t>
  </si>
  <si>
    <t>Conference - VSCW</t>
  </si>
  <si>
    <t>189-7107-02</t>
  </si>
  <si>
    <t>***Revenue***</t>
  </si>
  <si>
    <t>Donations</t>
  </si>
  <si>
    <t>189-5050-00</t>
  </si>
  <si>
    <t>SAIF Revenue</t>
  </si>
  <si>
    <t>189-5060-00</t>
  </si>
  <si>
    <t>VSCW 2017 Funding</t>
  </si>
  <si>
    <t>189-5070-01</t>
  </si>
  <si>
    <t>EFF UBC 2017</t>
  </si>
  <si>
    <t>189-5070-02</t>
  </si>
  <si>
    <t>Miscellaneous Revenue</t>
  </si>
  <si>
    <t>189-5070-00</t>
  </si>
  <si>
    <t>Cutt $2,250</t>
  </si>
  <si>
    <t>Student Services Manager</t>
  </si>
  <si>
    <t>069-7010-00</t>
  </si>
  <si>
    <t>069-7020-00</t>
  </si>
  <si>
    <t>069-7103-00</t>
  </si>
  <si>
    <t>069-7105-00</t>
  </si>
  <si>
    <t>069-7107-00</t>
  </si>
  <si>
    <t>069-7112-00</t>
  </si>
  <si>
    <t>Rounded to 1,110 pp</t>
  </si>
  <si>
    <t>Conferences and Official Business</t>
  </si>
  <si>
    <t>069-7114-00</t>
  </si>
  <si>
    <t>Transitional Honorarium</t>
  </si>
  <si>
    <t>069-7200-00</t>
  </si>
  <si>
    <t>Delegated 200 to each coordinator</t>
  </si>
  <si>
    <t>069-7209-00</t>
  </si>
  <si>
    <t>Special &amp; Professional</t>
  </si>
  <si>
    <t>069-7215-00</t>
  </si>
  <si>
    <t>069-7219-00</t>
  </si>
  <si>
    <t>069-7333-00</t>
  </si>
  <si>
    <t>Staff Training</t>
  </si>
  <si>
    <t>069-7490-00</t>
  </si>
  <si>
    <t>069-7494-00</t>
  </si>
  <si>
    <t>Team Building</t>
  </si>
  <si>
    <t>069-7520-00</t>
  </si>
  <si>
    <t>069-7510-00</t>
  </si>
  <si>
    <t>Employee Meal Plan</t>
  </si>
  <si>
    <t>069-7030-00</t>
  </si>
  <si>
    <t>Services-Shared Expenses</t>
  </si>
  <si>
    <t>069-7600-00</t>
  </si>
  <si>
    <t>Assistant Student Services Manager</t>
  </si>
  <si>
    <t>069-7010-02</t>
  </si>
  <si>
    <t>069-7020-02</t>
  </si>
  <si>
    <t>069-7103-02</t>
  </si>
  <si>
    <t>Office Supplies &amp; Postage</t>
  </si>
  <si>
    <t>069-7105-02</t>
  </si>
  <si>
    <t>069-7107-02</t>
  </si>
  <si>
    <t>069-7114-02</t>
  </si>
  <si>
    <t>069-7219-02</t>
  </si>
  <si>
    <t>Grants &amp; Donations</t>
  </si>
  <si>
    <t>Advocacy</t>
  </si>
  <si>
    <t>All coordinators are at 20hr/week 56 weeks</t>
  </si>
  <si>
    <t>Salary (Coordinator)</t>
  </si>
  <si>
    <t>147-7010-00</t>
  </si>
  <si>
    <t>147-7020-00</t>
  </si>
  <si>
    <t>147-7103-00</t>
  </si>
  <si>
    <t>147-7105-00</t>
  </si>
  <si>
    <t>147-7107-00</t>
  </si>
  <si>
    <t>147-7112-00</t>
  </si>
  <si>
    <t>147-7219-00</t>
  </si>
  <si>
    <t>Promotional Materials</t>
  </si>
  <si>
    <t>147-7510-00</t>
  </si>
  <si>
    <t>Fee for fileling software</t>
  </si>
  <si>
    <t>077-7010-00</t>
  </si>
  <si>
    <t>077-7020-00</t>
  </si>
  <si>
    <t>Food Purchases</t>
  </si>
  <si>
    <t>077-7081-00</t>
  </si>
  <si>
    <t>077-7103-00</t>
  </si>
  <si>
    <t>077-7105-00</t>
  </si>
  <si>
    <t>077-7106-00</t>
  </si>
  <si>
    <t>077-7107-00</t>
  </si>
  <si>
    <t>077-7112-00</t>
  </si>
  <si>
    <t>077-7219-00</t>
  </si>
  <si>
    <t>077-7204-00</t>
  </si>
  <si>
    <t>077-7494-00</t>
  </si>
  <si>
    <t>Special Projects (Olivewood)</t>
  </si>
  <si>
    <t>077-7510-00</t>
  </si>
  <si>
    <t>Revenue/Donations</t>
  </si>
  <si>
    <t>077-5050-00</t>
  </si>
  <si>
    <t>**UBC Contributions</t>
  </si>
  <si>
    <t>Miscellaneous Revenue/Grants and Donations</t>
  </si>
  <si>
    <t>077-5060-00</t>
  </si>
  <si>
    <t>Salaries &amp; Wages (Coordinators)</t>
  </si>
  <si>
    <t>152-7010-00</t>
  </si>
  <si>
    <t>Salaries &amp; Wages (Staff)</t>
  </si>
  <si>
    <t>152-7011-00</t>
  </si>
  <si>
    <t>Benefits and Payroll Fees</t>
  </si>
  <si>
    <t>152-7020-00</t>
  </si>
  <si>
    <t>152-7103-00</t>
  </si>
  <si>
    <t>152-7105-00</t>
  </si>
  <si>
    <t>152-7107-00</t>
  </si>
  <si>
    <t>New A/C</t>
  </si>
  <si>
    <t>Insurance</t>
  </si>
  <si>
    <t>152-7109-00</t>
  </si>
  <si>
    <t>152-7112-00</t>
  </si>
  <si>
    <t>SWAP Account</t>
  </si>
  <si>
    <t>152-7219-00</t>
  </si>
  <si>
    <t>Equipment Maintenance</t>
  </si>
  <si>
    <t>152-7220-00</t>
  </si>
  <si>
    <t>152-7490-00</t>
  </si>
  <si>
    <t>Promotional items</t>
  </si>
  <si>
    <t>152-7030-00</t>
  </si>
  <si>
    <t>152-7510-00</t>
  </si>
  <si>
    <t>Sponsorship Revenue(Grants and Donations</t>
  </si>
  <si>
    <t>152-5060-00</t>
  </si>
  <si>
    <t>159-7010-00</t>
  </si>
  <si>
    <t>159-7020-00</t>
  </si>
  <si>
    <t>159-7103-00</t>
  </si>
  <si>
    <t>159-7105-00</t>
  </si>
  <si>
    <t>159-7107-00</t>
  </si>
  <si>
    <t>159-7112-00</t>
  </si>
  <si>
    <t>159-7219-00</t>
  </si>
  <si>
    <t>159-7490-00</t>
  </si>
  <si>
    <t>Workshops and Outreach</t>
  </si>
  <si>
    <t>159-7494-00</t>
  </si>
  <si>
    <t>159-7510-00</t>
  </si>
  <si>
    <t>Tutoring</t>
  </si>
  <si>
    <t>Salaries (Coordinators)</t>
  </si>
  <si>
    <t>144-7010-00</t>
  </si>
  <si>
    <t>Wages - Tutors</t>
  </si>
  <si>
    <t>144-7012-00</t>
  </si>
  <si>
    <t>144-7020-00</t>
  </si>
  <si>
    <t>144-7103-00</t>
  </si>
  <si>
    <t>144-7105-00</t>
  </si>
  <si>
    <t>144-7107-00</t>
  </si>
  <si>
    <t>144-7112-00</t>
  </si>
  <si>
    <t>144-7219-00</t>
  </si>
  <si>
    <t>Teaching supplies</t>
  </si>
  <si>
    <t>144-7300-00</t>
  </si>
  <si>
    <t>Volunteer Training change to Staff</t>
  </si>
  <si>
    <t>144-7490-00</t>
  </si>
  <si>
    <t>144-7494-00</t>
  </si>
  <si>
    <t>Special Project</t>
  </si>
  <si>
    <t>144-7510-00</t>
  </si>
  <si>
    <t>Appointment Tutoring</t>
  </si>
  <si>
    <t>144-5050-00</t>
  </si>
  <si>
    <t>Residence Tutoring</t>
  </si>
  <si>
    <t>144-5051-00</t>
  </si>
  <si>
    <t>Contract Tutoring</t>
  </si>
  <si>
    <t>144-5052-00</t>
  </si>
  <si>
    <t>144-5070-00</t>
  </si>
  <si>
    <t>TLEF Grant Revenue</t>
  </si>
  <si>
    <t>144-5075-00</t>
  </si>
  <si>
    <t>V.I.C.E</t>
  </si>
  <si>
    <t>Salaries (Coordinator)</t>
  </si>
  <si>
    <t>067-7010-00</t>
  </si>
  <si>
    <t>067-7020-00</t>
  </si>
  <si>
    <t>067-7103-00</t>
  </si>
  <si>
    <t>067-7107-00</t>
  </si>
  <si>
    <t>067-7105-00</t>
  </si>
  <si>
    <t>067-7112-00</t>
  </si>
  <si>
    <t>067-7219-00</t>
  </si>
  <si>
    <t>067-7490-00</t>
  </si>
  <si>
    <t>067-7494-00</t>
  </si>
  <si>
    <t>Events</t>
  </si>
  <si>
    <t>067-7510-00</t>
  </si>
  <si>
    <t>Entrepreneurship Hub</t>
  </si>
  <si>
    <t>e@UBC grant</t>
  </si>
  <si>
    <t>Total SMSS</t>
  </si>
  <si>
    <t>Total SASC</t>
  </si>
  <si>
    <t>Total SSM</t>
  </si>
  <si>
    <t>Total Advocacy</t>
  </si>
  <si>
    <t>Total Food Bank</t>
  </si>
  <si>
    <t>Total Safewalk</t>
  </si>
  <si>
    <t>Total Speakeasy</t>
  </si>
  <si>
    <t>Total Tutoring</t>
  </si>
  <si>
    <t>Total V.I.C.E</t>
  </si>
  <si>
    <t>Total eHub</t>
  </si>
  <si>
    <t>AMS Events (Fiscal Year)</t>
  </si>
  <si>
    <t>Actuals 17/18</t>
  </si>
  <si>
    <t>AMS Events</t>
  </si>
  <si>
    <t>***Operations Expense***</t>
  </si>
  <si>
    <t>Salaries &amp; Wages (coordinators)</t>
  </si>
  <si>
    <t>146-7010-00</t>
  </si>
  <si>
    <t>Part Time Salaries</t>
  </si>
  <si>
    <t>146-7011-00</t>
  </si>
  <si>
    <t>146-7020-00</t>
  </si>
  <si>
    <t>146-7103-00</t>
  </si>
  <si>
    <t>146-7105-00</t>
  </si>
  <si>
    <t>146-7106-00</t>
  </si>
  <si>
    <t>146-7107-00</t>
  </si>
  <si>
    <t>146-7112-00</t>
  </si>
  <si>
    <t>146-7114-00</t>
  </si>
  <si>
    <t>Library and Subscriptions</t>
  </si>
  <si>
    <t>146-7210-00</t>
  </si>
  <si>
    <t>Computer Hardware &amp; Software</t>
  </si>
  <si>
    <t>146-7333-00</t>
  </si>
  <si>
    <t>Credit Card Clearing</t>
  </si>
  <si>
    <t>146-7399-00</t>
  </si>
  <si>
    <t>***Equipment Expense***</t>
  </si>
  <si>
    <t>146-7219-00</t>
  </si>
  <si>
    <t>Equipment Maintenance &amp; Repair</t>
  </si>
  <si>
    <t>146-7220-00</t>
  </si>
  <si>
    <t>Depreciation &amp; Amortisation</t>
  </si>
  <si>
    <t>146-7299-00</t>
  </si>
  <si>
    <t>***Marketing and Media***</t>
  </si>
  <si>
    <t>Media Expense</t>
  </si>
  <si>
    <t>146-7410-00</t>
  </si>
  <si>
    <t>Advertising and Promotion</t>
  </si>
  <si>
    <t>146-7209-00</t>
  </si>
  <si>
    <t>***Staff Expense***</t>
  </si>
  <si>
    <t>Staff &amp; Volunteer Appreciation</t>
  </si>
  <si>
    <t>146-7494-00</t>
  </si>
  <si>
    <t>***Event Expenses***</t>
  </si>
  <si>
    <t>Halloween Expense</t>
  </si>
  <si>
    <t>146-7180-00</t>
  </si>
  <si>
    <t>Speaker Expense</t>
  </si>
  <si>
    <t>146-8020-00</t>
  </si>
  <si>
    <t>Rentals Expense</t>
  </si>
  <si>
    <t>146-8040-00</t>
  </si>
  <si>
    <t>Concert Expense</t>
  </si>
  <si>
    <t>146-7018-00</t>
  </si>
  <si>
    <t>live@lunch expense</t>
  </si>
  <si>
    <t>146-8070-00</t>
  </si>
  <si>
    <t>Frost Fest</t>
  </si>
  <si>
    <t>146-8030-00</t>
  </si>
  <si>
    <t>Pub Prog/ Special Events Expense</t>
  </si>
  <si>
    <t>146-8110-00</t>
  </si>
  <si>
    <t>Joint Projects</t>
  </si>
  <si>
    <t>146-8090-00</t>
  </si>
  <si>
    <t>Speaker Series Revenue (All Ages)</t>
  </si>
  <si>
    <t>146-5020-00</t>
  </si>
  <si>
    <t>Rentals revenue</t>
  </si>
  <si>
    <t>146-5040-00</t>
  </si>
  <si>
    <t>**Acount code on TB 146-5018-00</t>
  </si>
  <si>
    <t>Concert revenue</t>
  </si>
  <si>
    <t>146-5070-00</t>
  </si>
  <si>
    <t>**Acount code on TB 146-5060-00</t>
  </si>
  <si>
    <t>146-5090-00</t>
  </si>
  <si>
    <t>Pub Prog/Special Events Revenue</t>
  </si>
  <si>
    <t>146-5110-00</t>
  </si>
  <si>
    <t>Special Projects Revenue</t>
  </si>
  <si>
    <t>146-5510-00</t>
  </si>
  <si>
    <t>Halloween Revenue</t>
  </si>
  <si>
    <t>146-5180-00</t>
  </si>
  <si>
    <t>146-5030-00</t>
  </si>
  <si>
    <t>***Expenses***</t>
  </si>
  <si>
    <t>193-7010-00</t>
  </si>
  <si>
    <t>License and Insurance</t>
  </si>
  <si>
    <t>193-7100-00</t>
  </si>
  <si>
    <t>Liqour Expense</t>
  </si>
  <si>
    <t>193-7079-00</t>
  </si>
  <si>
    <t>193-7101-00</t>
  </si>
  <si>
    <t>Production Expense</t>
  </si>
  <si>
    <t>193-7102-00</t>
  </si>
  <si>
    <t>Sound/Lights/Stage Expense</t>
  </si>
  <si>
    <t>193-7105-00</t>
  </si>
  <si>
    <t>193-7107-00</t>
  </si>
  <si>
    <t>Safety &amp; Security</t>
  </si>
  <si>
    <t>193-7110-00</t>
  </si>
  <si>
    <t>193-7112-00</t>
  </si>
  <si>
    <t>193-7209-00</t>
  </si>
  <si>
    <t>Payroll Costs</t>
  </si>
  <si>
    <t>193-7113-00</t>
  </si>
  <si>
    <t>Tickets (Beer/Liquor/Pop)</t>
  </si>
  <si>
    <t>193-7205-00</t>
  </si>
  <si>
    <t>Wristbands</t>
  </si>
  <si>
    <t>193-7207-00</t>
  </si>
  <si>
    <t>193-7223-00</t>
  </si>
  <si>
    <t>Fencing Rental</t>
  </si>
  <si>
    <t>193-7601-00</t>
  </si>
  <si>
    <t>Toilet Rental</t>
  </si>
  <si>
    <t>193-7602-00</t>
  </si>
  <si>
    <t>Field Rental Charge</t>
  </si>
  <si>
    <t>193-7603-00</t>
  </si>
  <si>
    <t>***Revenues***</t>
  </si>
  <si>
    <t>Ticket Revenue</t>
  </si>
  <si>
    <t>193-5017-00</t>
  </si>
  <si>
    <t>193-5060-00</t>
  </si>
  <si>
    <t>Keg rebates</t>
  </si>
  <si>
    <t>Food &amp; Beverage Revenue</t>
  </si>
  <si>
    <t>193-5079-00</t>
  </si>
  <si>
    <t>048-7010-00</t>
  </si>
  <si>
    <t>048-7011-00</t>
  </si>
  <si>
    <t>048-7020-00</t>
  </si>
  <si>
    <t>048-7103-00</t>
  </si>
  <si>
    <t>048-7105-00</t>
  </si>
  <si>
    <t>048-7106-00</t>
  </si>
  <si>
    <t>048-7107-00</t>
  </si>
  <si>
    <t>Account take from Dynamics</t>
  </si>
  <si>
    <t>Credit/Debit Card costs</t>
  </si>
  <si>
    <t>048-7108-00</t>
  </si>
  <si>
    <t>048-7112-00</t>
  </si>
  <si>
    <t>Conference and Official Business</t>
  </si>
  <si>
    <t>048-7114-00</t>
  </si>
  <si>
    <t>Cutt $10K</t>
  </si>
  <si>
    <t>Firstweek Kit Material</t>
  </si>
  <si>
    <t>048-7500-00</t>
  </si>
  <si>
    <t>048-7207-00</t>
  </si>
  <si>
    <t>First Week Events</t>
  </si>
  <si>
    <t>048-7514-00</t>
  </si>
  <si>
    <t>048-7223-00</t>
  </si>
  <si>
    <t>048-7110-00</t>
  </si>
  <si>
    <t>Stages/Sounds/Lights</t>
  </si>
  <si>
    <t>048-7600-00</t>
  </si>
  <si>
    <t>Rider Hospitality</t>
  </si>
  <si>
    <t>048-7631-00</t>
  </si>
  <si>
    <t>048-7410-00</t>
  </si>
  <si>
    <t>048-7209-00</t>
  </si>
  <si>
    <t>048-7299-00</t>
  </si>
  <si>
    <t>048-7494-00</t>
  </si>
  <si>
    <t>048-5060-00</t>
  </si>
  <si>
    <t>048-5070-00</t>
  </si>
  <si>
    <t>Kit Sales</t>
  </si>
  <si>
    <t>048-5071-00</t>
  </si>
  <si>
    <t>048-5017-00</t>
  </si>
  <si>
    <t>196-7010-00</t>
  </si>
  <si>
    <t>Food &amp; Beverage Expense</t>
  </si>
  <si>
    <t>196-7100-00</t>
  </si>
  <si>
    <t>196-7083-00</t>
  </si>
  <si>
    <t>196-7107-00</t>
  </si>
  <si>
    <t>196-7209-00</t>
  </si>
  <si>
    <t>196-7223-00</t>
  </si>
  <si>
    <t>Safety &amp; Security Fee</t>
  </si>
  <si>
    <t>196-7505-00</t>
  </si>
  <si>
    <t>**Account code on TB is 196-7102-00</t>
  </si>
  <si>
    <t>196-7507-00</t>
  </si>
  <si>
    <t>Sound/Lights</t>
  </si>
  <si>
    <t>196-7105-00</t>
  </si>
  <si>
    <t>196-7112-00</t>
  </si>
  <si>
    <t>Venue Expense</t>
  </si>
  <si>
    <t>196-7510-00</t>
  </si>
  <si>
    <t>196-5017-00</t>
  </si>
  <si>
    <t>196-5070-00</t>
  </si>
  <si>
    <t>196-5081-00</t>
  </si>
  <si>
    <t>196-5090-00</t>
  </si>
  <si>
    <t>Total Events</t>
  </si>
  <si>
    <t>Total WBBBQ</t>
  </si>
  <si>
    <t>Total First Week</t>
  </si>
  <si>
    <t>Total Block Party</t>
  </si>
  <si>
    <t>Total AMS Events</t>
  </si>
  <si>
    <t>Photographer</t>
  </si>
  <si>
    <t>Ancillary Student Services (Fiscal Year)</t>
  </si>
  <si>
    <t>Communications &amp; **DS</t>
  </si>
  <si>
    <t>Cutt $15K</t>
  </si>
  <si>
    <t>Salaries &amp; Wages - Full Time</t>
  </si>
  <si>
    <t>195-7010-00</t>
  </si>
  <si>
    <t>Salaries &amp; Wages - Part Time</t>
  </si>
  <si>
    <t>195-7011-00</t>
  </si>
  <si>
    <t>195-7020-00</t>
  </si>
  <si>
    <t>195-7103-00</t>
  </si>
  <si>
    <t>195-7105-00</t>
  </si>
  <si>
    <t>195-7106-00</t>
  </si>
  <si>
    <t>195-7107-00</t>
  </si>
  <si>
    <t>Printing</t>
  </si>
  <si>
    <t>195-7109-00</t>
  </si>
  <si>
    <t>195-7114-00</t>
  </si>
  <si>
    <t>Proessional Services</t>
  </si>
  <si>
    <t>195-7204-00</t>
  </si>
  <si>
    <t>Website</t>
  </si>
  <si>
    <t>195-7205-00</t>
  </si>
  <si>
    <t>Freelance Services</t>
  </si>
  <si>
    <t>195-7206-00</t>
  </si>
  <si>
    <t>195-7209-00</t>
  </si>
  <si>
    <t>Focus Group/Brand Development</t>
  </si>
  <si>
    <t>195-7215-00</t>
  </si>
  <si>
    <t>Amortization &amp; Depreciation</t>
  </si>
  <si>
    <t>195-7299-00</t>
  </si>
  <si>
    <t>195-7333-00</t>
  </si>
  <si>
    <t>195-7494-00</t>
  </si>
  <si>
    <t>Design Services</t>
  </si>
  <si>
    <t>Salaries &amp; Wages- Full Time Staff</t>
  </si>
  <si>
    <t>194-7010-00</t>
  </si>
  <si>
    <t>Salaries &amp; Wages-Part Time Staff</t>
  </si>
  <si>
    <t>194-7011-00</t>
  </si>
  <si>
    <t>194-7020-00</t>
  </si>
  <si>
    <t>Workstudy Costs</t>
  </si>
  <si>
    <t>194-7025-00</t>
  </si>
  <si>
    <t>194-7103-00</t>
  </si>
  <si>
    <t>194-7105-00</t>
  </si>
  <si>
    <t>194-7106-00</t>
  </si>
  <si>
    <t>194-7107-00</t>
  </si>
  <si>
    <t>194-7112-00</t>
  </si>
  <si>
    <t>Website Maintenance</t>
  </si>
  <si>
    <t>194-7205-00</t>
  </si>
  <si>
    <t>Advertising Expense</t>
  </si>
  <si>
    <t>194-7209-00</t>
  </si>
  <si>
    <t>Dues &amp; Subscriptions</t>
  </si>
  <si>
    <t>194-7210-00</t>
  </si>
  <si>
    <t>194-7211-00</t>
  </si>
  <si>
    <t>194-7219-00</t>
  </si>
  <si>
    <t>Colour Printer Expense</t>
  </si>
  <si>
    <t>194-7220-00</t>
  </si>
  <si>
    <t>Specialty Services Expense</t>
  </si>
  <si>
    <t>194-7230-00</t>
  </si>
  <si>
    <t>Design Services Expense</t>
  </si>
  <si>
    <t>194-7232-00</t>
  </si>
  <si>
    <t>194-7333-00</t>
  </si>
  <si>
    <t>Banner Expense</t>
  </si>
  <si>
    <t>194-7400-00</t>
  </si>
  <si>
    <t>194-7204-00</t>
  </si>
  <si>
    <t>Colour Printer Revenue</t>
  </si>
  <si>
    <t>194-5220-00</t>
  </si>
  <si>
    <t>Specialty Services</t>
  </si>
  <si>
    <t>194-5230-00</t>
  </si>
  <si>
    <t>194-5232-00</t>
  </si>
  <si>
    <t>Banner Revenue</t>
  </si>
  <si>
    <t>194-5400-00</t>
  </si>
  <si>
    <t>Advertising Revenue</t>
  </si>
  <si>
    <t>194-5500-00</t>
  </si>
  <si>
    <t>Cutt $9K</t>
  </si>
  <si>
    <t>Salaries and Wages</t>
  </si>
  <si>
    <t>073-7010-00</t>
  </si>
  <si>
    <t>073-7020-00</t>
  </si>
  <si>
    <t>073-7103-00</t>
  </si>
  <si>
    <t>073-7105-00</t>
  </si>
  <si>
    <t>Postage &amp; Courier</t>
  </si>
  <si>
    <t>073-7106-00</t>
  </si>
  <si>
    <t>073-7107-00</t>
  </si>
  <si>
    <t>073-7112-00</t>
  </si>
  <si>
    <t>073-7114-00</t>
  </si>
  <si>
    <t>073-7215-00</t>
  </si>
  <si>
    <t>Archives and Research</t>
  </si>
  <si>
    <t>075-7010-00</t>
  </si>
  <si>
    <t>075-7020-00</t>
  </si>
  <si>
    <t>Work Learn</t>
  </si>
  <si>
    <t>075-7025-00</t>
  </si>
  <si>
    <t>075-7103-00</t>
  </si>
  <si>
    <t>075-7105-00</t>
  </si>
  <si>
    <t>075-7106-00</t>
  </si>
  <si>
    <t>075-7107-00</t>
  </si>
  <si>
    <t>075-7112-00</t>
  </si>
  <si>
    <t>Professional Services</t>
  </si>
  <si>
    <t>075-7204-00</t>
  </si>
  <si>
    <t>Library &amp; Subscriptions</t>
  </si>
  <si>
    <t>075-7210-00</t>
  </si>
  <si>
    <t>075-7219-00</t>
  </si>
  <si>
    <t>075-7333-00</t>
  </si>
  <si>
    <t>Professional development</t>
  </si>
  <si>
    <t>075-7215-00</t>
  </si>
  <si>
    <t>075-7510-00</t>
  </si>
  <si>
    <t>075-5070-00</t>
  </si>
  <si>
    <t>Total Communication &amp; DS</t>
  </si>
  <si>
    <t>Total Design Services</t>
  </si>
  <si>
    <t>Total Archives</t>
  </si>
  <si>
    <t>Total Ancillary Student Services</t>
  </si>
  <si>
    <t>Reforecast 2019/20</t>
  </si>
  <si>
    <t xml:space="preserve"> Budget 2019/20</t>
  </si>
  <si>
    <t>Reforecast estimates 2019/20</t>
  </si>
  <si>
    <t>44000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</si>
</sst>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&quot; &quot;&quot;$&quot;* #,##0.00&quot; &quot;;&quot; &quot;&quot;$&quot;* \(#,##0.00\);&quot; &quot;&quot;$&quot;* &quot;-&quot;??&quot; &quot;"/>
    <numFmt numFmtId="165" formatCode="&quot; &quot;&quot;$&quot;* #,##0.00&quot; &quot;;&quot;-&quot;&quot;$&quot;* #,##0.00&quot; &quot;;&quot; &quot;&quot;$&quot;* &quot;-&quot;??&quot; &quot;"/>
    <numFmt numFmtId="166" formatCode="0.000%"/>
    <numFmt numFmtId="167" formatCode="&quot;$&quot;#,##0.00"/>
    <numFmt numFmtId="168" formatCode="&quot;$&quot;#,##0;&quot;-&quot;&quot;$&quot;#,##0"/>
    <numFmt numFmtId="169" formatCode="&quot;$&quot;#,##0.00&quot; &quot;;\(&quot;$&quot;#,##0.00\)"/>
  </numFmts>
  <fonts count="27">
    <font>
      <sz val="10"/>
      <color indexed="8"/>
      <name val="Arial"/>
    </font>
    <font>
      <b/>
      <sz val="14"/>
      <color indexed="9"/>
      <name val="Calibri"/>
    </font>
    <font>
      <b/>
      <sz val="11"/>
      <color indexed="8"/>
      <name val="Calibri"/>
    </font>
    <font>
      <b/>
      <sz val="11"/>
      <color indexed="14"/>
      <name val="Calibri"/>
    </font>
    <font>
      <b/>
      <sz val="11"/>
      <color indexed="15"/>
      <name val="Calibri"/>
    </font>
    <font>
      <b/>
      <sz val="10"/>
      <color indexed="15"/>
      <name val="Arial"/>
    </font>
    <font>
      <b/>
      <sz val="11"/>
      <color indexed="13"/>
      <name val="Calibri"/>
    </font>
    <font>
      <b/>
      <sz val="11"/>
      <color indexed="16"/>
      <name val="Calibri"/>
    </font>
    <font>
      <b/>
      <sz val="10"/>
      <color indexed="8"/>
      <name val="Arial"/>
    </font>
    <font>
      <sz val="11"/>
      <color indexed="8"/>
      <name val="Calibri"/>
    </font>
    <font>
      <sz val="11"/>
      <color indexed="8"/>
      <name val="Helvetica Neue"/>
    </font>
    <font>
      <sz val="10"/>
      <color indexed="25"/>
      <name val="Arial"/>
    </font>
    <font>
      <sz val="12"/>
      <color indexed="8"/>
      <name val="Arial"/>
    </font>
    <font>
      <sz val="12"/>
      <color indexed="26"/>
      <name val="Times"/>
    </font>
    <font>
      <b/>
      <sz val="11"/>
      <color indexed="9"/>
      <name val="Calibri"/>
    </font>
    <font>
      <sz val="11"/>
      <color indexed="23"/>
      <name val="Calibri"/>
    </font>
    <font>
      <b/>
      <sz val="10"/>
      <color indexed="9"/>
      <name val="Arial"/>
    </font>
    <font>
      <sz val="10"/>
      <color indexed="16"/>
      <name val="Arial"/>
    </font>
    <font>
      <sz val="10"/>
      <color indexed="23"/>
      <name val="Arial"/>
    </font>
    <font>
      <sz val="10"/>
      <color indexed="13"/>
      <name val="Arial"/>
    </font>
    <font>
      <sz val="11"/>
      <color indexed="8"/>
      <name val="Trebuchet MS"/>
    </font>
    <font>
      <sz val="10"/>
      <color indexed="8"/>
      <name val="Calibri"/>
    </font>
    <font>
      <b/>
      <sz val="12"/>
      <color indexed="8"/>
      <name val="Calibri"/>
    </font>
    <font>
      <b/>
      <sz val="12"/>
      <color indexed="9"/>
      <name val="Calibri"/>
    </font>
    <font>
      <sz val="11"/>
      <color indexed="13"/>
      <name val="Calibri"/>
    </font>
    <font>
      <sz val="10"/>
      <color indexed="8"/>
      <name val="Times New Roman"/>
    </font>
    <font>
      <sz val="10"/>
      <color indexed="8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43" fontId="26" fillId="0" borderId="0" applyFont="0" applyFill="0" applyBorder="0" applyAlignment="0" applyProtection="0"/>
  </cellStyleXfs>
  <cellXfs count="5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49" fontId="0" fillId="2" borderId="11" xfId="0" applyNumberFormat="1" applyFont="1" applyFill="1" applyBorder="1" applyAlignment="1"/>
    <xf numFmtId="164" fontId="0" fillId="2" borderId="4" xfId="0" applyNumberFormat="1" applyFont="1" applyFill="1" applyBorder="1" applyAlignment="1"/>
    <xf numFmtId="164" fontId="0" fillId="2" borderId="12" xfId="0" applyNumberFormat="1" applyFont="1" applyFill="1" applyBorder="1" applyAlignment="1"/>
    <xf numFmtId="164" fontId="0" fillId="2" borderId="13" xfId="0" applyNumberFormat="1" applyFont="1" applyFill="1" applyBorder="1" applyAlignment="1"/>
    <xf numFmtId="0" fontId="0" fillId="2" borderId="11" xfId="0" applyFont="1" applyFill="1" applyBorder="1" applyAlignment="1"/>
    <xf numFmtId="49" fontId="2" fillId="2" borderId="14" xfId="0" applyNumberFormat="1" applyFont="1" applyFill="1" applyBorder="1" applyAlignment="1"/>
    <xf numFmtId="165" fontId="3" fillId="2" borderId="15" xfId="0" applyNumberFormat="1" applyFont="1" applyFill="1" applyBorder="1" applyAlignment="1"/>
    <xf numFmtId="164" fontId="4" fillId="2" borderId="16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right"/>
    </xf>
    <xf numFmtId="164" fontId="4" fillId="2" borderId="17" xfId="0" applyNumberFormat="1" applyFont="1" applyFill="1" applyBorder="1" applyAlignment="1">
      <alignment horizontal="right"/>
    </xf>
    <xf numFmtId="164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6" fillId="2" borderId="1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0" fillId="2" borderId="18" xfId="0" applyFont="1" applyFill="1" applyBorder="1" applyAlignment="1"/>
    <xf numFmtId="49" fontId="2" fillId="2" borderId="19" xfId="0" applyNumberFormat="1" applyFont="1" applyFill="1" applyBorder="1" applyAlignment="1"/>
    <xf numFmtId="165" fontId="3" fillId="2" borderId="20" xfId="0" applyNumberFormat="1" applyFont="1" applyFill="1" applyBorder="1" applyAlignment="1"/>
    <xf numFmtId="164" fontId="4" fillId="2" borderId="7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4" fillId="2" borderId="8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/>
    <xf numFmtId="164" fontId="4" fillId="2" borderId="9" xfId="0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0" fontId="6" fillId="2" borderId="22" xfId="0" applyFont="1" applyFill="1" applyBorder="1" applyAlignment="1"/>
    <xf numFmtId="0" fontId="6" fillId="2" borderId="8" xfId="0" applyFont="1" applyFill="1" applyBorder="1" applyAlignment="1"/>
    <xf numFmtId="164" fontId="6" fillId="2" borderId="8" xfId="0" applyNumberFormat="1" applyFont="1" applyFill="1" applyBorder="1" applyAlignment="1">
      <alignment horizontal="right"/>
    </xf>
    <xf numFmtId="0" fontId="2" fillId="2" borderId="23" xfId="0" applyFont="1" applyFill="1" applyBorder="1" applyAlignment="1"/>
    <xf numFmtId="0" fontId="2" fillId="2" borderId="24" xfId="0" applyFont="1" applyFill="1" applyBorder="1" applyAlignment="1"/>
    <xf numFmtId="164" fontId="4" fillId="2" borderId="24" xfId="0" applyNumberFormat="1" applyFont="1" applyFill="1" applyBorder="1" applyAlignment="1">
      <alignment horizontal="right"/>
    </xf>
    <xf numFmtId="164" fontId="5" fillId="2" borderId="24" xfId="0" applyNumberFormat="1" applyFont="1" applyFill="1" applyBorder="1" applyAlignment="1">
      <alignment horizontal="right"/>
    </xf>
    <xf numFmtId="164" fontId="0" fillId="2" borderId="24" xfId="0" applyNumberFormat="1" applyFont="1" applyFill="1" applyBorder="1" applyAlignment="1"/>
    <xf numFmtId="0" fontId="0" fillId="2" borderId="24" xfId="0" applyFont="1" applyFill="1" applyBorder="1" applyAlignment="1"/>
    <xf numFmtId="164" fontId="4" fillId="2" borderId="25" xfId="0" applyNumberFormat="1" applyFont="1" applyFill="1" applyBorder="1" applyAlignment="1">
      <alignment horizontal="right"/>
    </xf>
    <xf numFmtId="164" fontId="2" fillId="2" borderId="26" xfId="0" applyNumberFormat="1" applyFont="1" applyFill="1" applyBorder="1" applyAlignment="1">
      <alignment horizontal="right"/>
    </xf>
    <xf numFmtId="49" fontId="6" fillId="2" borderId="23" xfId="0" applyNumberFormat="1" applyFont="1" applyFill="1" applyBorder="1" applyAlignment="1"/>
    <xf numFmtId="165" fontId="6" fillId="2" borderId="24" xfId="0" applyNumberFormat="1" applyFont="1" applyFill="1" applyBorder="1" applyAlignment="1"/>
    <xf numFmtId="164" fontId="6" fillId="2" borderId="24" xfId="0" applyNumberFormat="1" applyFont="1" applyFill="1" applyBorder="1" applyAlignment="1">
      <alignment horizontal="right"/>
    </xf>
    <xf numFmtId="0" fontId="0" fillId="2" borderId="27" xfId="0" applyFont="1" applyFill="1" applyBorder="1" applyAlignment="1"/>
    <xf numFmtId="49" fontId="2" fillId="2" borderId="28" xfId="0" applyNumberFormat="1" applyFont="1" applyFill="1" applyBorder="1" applyAlignment="1"/>
    <xf numFmtId="49" fontId="7" fillId="6" borderId="29" xfId="0" applyNumberFormat="1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49" fontId="2" fillId="7" borderId="29" xfId="0" applyNumberFormat="1" applyFont="1" applyFill="1" applyBorder="1" applyAlignment="1">
      <alignment horizontal="center"/>
    </xf>
    <xf numFmtId="49" fontId="2" fillId="2" borderId="30" xfId="0" applyNumberFormat="1" applyFont="1" applyFill="1" applyBorder="1" applyAlignment="1"/>
    <xf numFmtId="49" fontId="2" fillId="2" borderId="23" xfId="0" applyNumberFormat="1" applyFont="1" applyFill="1" applyBorder="1" applyAlignment="1"/>
    <xf numFmtId="49" fontId="2" fillId="2" borderId="24" xfId="0" applyNumberFormat="1" applyFont="1" applyFill="1" applyBorder="1" applyAlignment="1"/>
    <xf numFmtId="49" fontId="2" fillId="2" borderId="25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/>
    <xf numFmtId="49" fontId="2" fillId="2" borderId="31" xfId="0" applyNumberFormat="1" applyFont="1" applyFill="1" applyBorder="1" applyAlignment="1"/>
    <xf numFmtId="49" fontId="2" fillId="2" borderId="25" xfId="0" applyNumberFormat="1" applyFont="1" applyFill="1" applyBorder="1" applyAlignment="1"/>
    <xf numFmtId="49" fontId="0" fillId="8" borderId="32" xfId="0" applyNumberFormat="1" applyFont="1" applyFill="1" applyBorder="1" applyAlignment="1"/>
    <xf numFmtId="164" fontId="8" fillId="2" borderId="24" xfId="0" applyNumberFormat="1" applyFont="1" applyFill="1" applyBorder="1" applyAlignment="1">
      <alignment horizontal="center"/>
    </xf>
    <xf numFmtId="164" fontId="0" fillId="2" borderId="25" xfId="0" applyNumberFormat="1" applyFont="1" applyFill="1" applyBorder="1" applyAlignment="1"/>
    <xf numFmtId="164" fontId="0" fillId="2" borderId="26" xfId="0" applyNumberFormat="1" applyFont="1" applyFill="1" applyBorder="1" applyAlignment="1"/>
    <xf numFmtId="49" fontId="9" fillId="2" borderId="23" xfId="0" applyNumberFormat="1" applyFont="1" applyFill="1" applyBorder="1" applyAlignment="1"/>
    <xf numFmtId="0" fontId="9" fillId="2" borderId="24" xfId="0" applyFont="1" applyFill="1" applyBorder="1" applyAlignment="1"/>
    <xf numFmtId="166" fontId="0" fillId="2" borderId="33" xfId="0" applyNumberFormat="1" applyFont="1" applyFill="1" applyBorder="1" applyAlignment="1"/>
    <xf numFmtId="49" fontId="9" fillId="2" borderId="11" xfId="0" applyNumberFormat="1" applyFont="1" applyFill="1" applyBorder="1" applyAlignment="1"/>
    <xf numFmtId="164" fontId="9" fillId="2" borderId="4" xfId="0" applyNumberFormat="1" applyFont="1" applyFill="1" applyBorder="1" applyAlignment="1">
      <alignment horizontal="right"/>
    </xf>
    <xf numFmtId="9" fontId="9" fillId="2" borderId="4" xfId="0" applyNumberFormat="1" applyFont="1" applyFill="1" applyBorder="1" applyAlignment="1">
      <alignment horizontal="right"/>
    </xf>
    <xf numFmtId="164" fontId="9" fillId="2" borderId="17" xfId="0" applyNumberFormat="1" applyFont="1" applyFill="1" applyBorder="1" applyAlignment="1">
      <alignment horizontal="right"/>
    </xf>
    <xf numFmtId="164" fontId="9" fillId="2" borderId="12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/>
    <xf numFmtId="164" fontId="9" fillId="2" borderId="13" xfId="0" applyNumberFormat="1" applyFont="1" applyFill="1" applyBorder="1" applyAlignment="1">
      <alignment horizontal="right"/>
    </xf>
    <xf numFmtId="166" fontId="0" fillId="2" borderId="1" xfId="0" applyNumberFormat="1" applyFont="1" applyFill="1" applyBorder="1" applyAlignment="1"/>
    <xf numFmtId="49" fontId="9" fillId="2" borderId="18" xfId="0" applyNumberFormat="1" applyFont="1" applyFill="1" applyBorder="1" applyAlignment="1"/>
    <xf numFmtId="9" fontId="9" fillId="2" borderId="17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9" fillId="2" borderId="17" xfId="0" applyNumberFormat="1" applyFont="1" applyFill="1" applyBorder="1" applyAlignment="1"/>
    <xf numFmtId="164" fontId="9" fillId="2" borderId="10" xfId="0" applyNumberFormat="1" applyFont="1" applyFill="1" applyBorder="1" applyAlignment="1">
      <alignment horizontal="right"/>
    </xf>
    <xf numFmtId="49" fontId="9" fillId="2" borderId="34" xfId="0" applyNumberFormat="1" applyFont="1" applyFill="1" applyBorder="1" applyAlignment="1"/>
    <xf numFmtId="164" fontId="9" fillId="2" borderId="35" xfId="0" applyNumberFormat="1" applyFont="1" applyFill="1" applyBorder="1" applyAlignment="1">
      <alignment horizontal="right"/>
    </xf>
    <xf numFmtId="49" fontId="9" fillId="2" borderId="36" xfId="0" applyNumberFormat="1" applyFont="1" applyFill="1" applyBorder="1" applyAlignment="1"/>
    <xf numFmtId="164" fontId="9" fillId="2" borderId="15" xfId="0" applyNumberFormat="1" applyFont="1" applyFill="1" applyBorder="1" applyAlignment="1">
      <alignment horizontal="right"/>
    </xf>
    <xf numFmtId="164" fontId="9" fillId="2" borderId="16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/>
    <xf numFmtId="164" fontId="9" fillId="2" borderId="18" xfId="0" applyNumberFormat="1" applyFont="1" applyFill="1" applyBorder="1" applyAlignment="1">
      <alignment horizontal="right"/>
    </xf>
    <xf numFmtId="49" fontId="9" fillId="2" borderId="10" xfId="0" applyNumberFormat="1" applyFont="1" applyFill="1" applyBorder="1" applyAlignment="1"/>
    <xf numFmtId="49" fontId="9" fillId="2" borderId="22" xfId="0" applyNumberFormat="1" applyFont="1" applyFill="1" applyBorder="1" applyAlignment="1"/>
    <xf numFmtId="164" fontId="9" fillId="2" borderId="8" xfId="0" applyNumberFormat="1" applyFont="1" applyFill="1" applyBorder="1" applyAlignment="1"/>
    <xf numFmtId="164" fontId="9" fillId="2" borderId="8" xfId="0" applyNumberFormat="1" applyFont="1" applyFill="1" applyBorder="1" applyAlignment="1">
      <alignment horizontal="right"/>
    </xf>
    <xf numFmtId="9" fontId="9" fillId="2" borderId="8" xfId="0" applyNumberFormat="1" applyFont="1" applyFill="1" applyBorder="1" applyAlignment="1">
      <alignment horizontal="right"/>
    </xf>
    <xf numFmtId="164" fontId="9" fillId="2" borderId="9" xfId="0" applyNumberFormat="1" applyFont="1" applyFill="1" applyBorder="1" applyAlignment="1">
      <alignment horizontal="right"/>
    </xf>
    <xf numFmtId="49" fontId="9" fillId="2" borderId="21" xfId="0" applyNumberFormat="1" applyFont="1" applyFill="1" applyBorder="1" applyAlignment="1"/>
    <xf numFmtId="49" fontId="2" fillId="10" borderId="28" xfId="0" applyNumberFormat="1" applyFont="1" applyFill="1" applyBorder="1" applyAlignment="1"/>
    <xf numFmtId="164" fontId="2" fillId="10" borderId="29" xfId="0" applyNumberFormat="1" applyFont="1" applyFill="1" applyBorder="1" applyAlignment="1"/>
    <xf numFmtId="164" fontId="2" fillId="10" borderId="29" xfId="0" applyNumberFormat="1" applyFont="1" applyFill="1" applyBorder="1" applyAlignment="1">
      <alignment horizontal="right"/>
    </xf>
    <xf numFmtId="9" fontId="2" fillId="10" borderId="29" xfId="0" applyNumberFormat="1" applyFont="1" applyFill="1" applyBorder="1" applyAlignment="1">
      <alignment horizontal="right"/>
    </xf>
    <xf numFmtId="164" fontId="2" fillId="10" borderId="31" xfId="0" applyNumberFormat="1" applyFont="1" applyFill="1" applyBorder="1" applyAlignment="1"/>
    <xf numFmtId="0" fontId="0" fillId="2" borderId="23" xfId="0" applyFont="1" applyFill="1" applyBorder="1" applyAlignment="1"/>
    <xf numFmtId="166" fontId="0" fillId="2" borderId="17" xfId="0" applyNumberFormat="1" applyFont="1" applyFill="1" applyBorder="1" applyAlignment="1"/>
    <xf numFmtId="49" fontId="9" fillId="2" borderId="37" xfId="0" applyNumberFormat="1" applyFont="1" applyFill="1" applyBorder="1" applyAlignment="1"/>
    <xf numFmtId="49" fontId="9" fillId="2" borderId="17" xfId="0" applyNumberFormat="1" applyFont="1" applyFill="1" applyBorder="1" applyAlignment="1"/>
    <xf numFmtId="49" fontId="9" fillId="2" borderId="1" xfId="0" applyNumberFormat="1" applyFont="1" applyFill="1" applyBorder="1" applyAlignment="1"/>
    <xf numFmtId="49" fontId="9" fillId="2" borderId="38" xfId="0" applyNumberFormat="1" applyFont="1" applyFill="1" applyBorder="1" applyAlignment="1"/>
    <xf numFmtId="164" fontId="9" fillId="2" borderId="39" xfId="0" applyNumberFormat="1" applyFont="1" applyFill="1" applyBorder="1" applyAlignment="1">
      <alignment horizontal="right"/>
    </xf>
    <xf numFmtId="164" fontId="9" fillId="2" borderId="27" xfId="0" applyNumberFormat="1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164" fontId="9" fillId="2" borderId="37" xfId="0" applyNumberFormat="1" applyFont="1" applyFill="1" applyBorder="1" applyAlignment="1">
      <alignment horizontal="right"/>
    </xf>
    <xf numFmtId="164" fontId="9" fillId="2" borderId="40" xfId="0" applyNumberFormat="1" applyFont="1" applyFill="1" applyBorder="1" applyAlignment="1">
      <alignment horizontal="right"/>
    </xf>
    <xf numFmtId="49" fontId="9" fillId="2" borderId="8" xfId="0" applyNumberFormat="1" applyFont="1" applyFill="1" applyBorder="1" applyAlignment="1"/>
    <xf numFmtId="0" fontId="9" fillId="2" borderId="8" xfId="0" applyFont="1" applyFill="1" applyBorder="1" applyAlignment="1">
      <alignment horizontal="right"/>
    </xf>
    <xf numFmtId="164" fontId="9" fillId="2" borderId="41" xfId="0" applyNumberFormat="1" applyFont="1" applyFill="1" applyBorder="1" applyAlignment="1">
      <alignment horizontal="right"/>
    </xf>
    <xf numFmtId="164" fontId="9" fillId="2" borderId="20" xfId="0" applyNumberFormat="1" applyFont="1" applyFill="1" applyBorder="1" applyAlignment="1">
      <alignment horizontal="right"/>
    </xf>
    <xf numFmtId="164" fontId="9" fillId="2" borderId="42" xfId="0" applyNumberFormat="1" applyFont="1" applyFill="1" applyBorder="1" applyAlignment="1">
      <alignment horizontal="right"/>
    </xf>
    <xf numFmtId="49" fontId="9" fillId="11" borderId="26" xfId="0" applyNumberFormat="1" applyFont="1" applyFill="1" applyBorder="1" applyAlignment="1"/>
    <xf numFmtId="164" fontId="9" fillId="11" borderId="26" xfId="0" applyNumberFormat="1" applyFont="1" applyFill="1" applyBorder="1" applyAlignment="1"/>
    <xf numFmtId="164" fontId="9" fillId="11" borderId="26" xfId="0" applyNumberFormat="1" applyFont="1" applyFill="1" applyBorder="1" applyAlignment="1">
      <alignment horizontal="right"/>
    </xf>
    <xf numFmtId="164" fontId="9" fillId="11" borderId="28" xfId="0" applyNumberFormat="1" applyFont="1" applyFill="1" applyBorder="1" applyAlignment="1">
      <alignment horizontal="right"/>
    </xf>
    <xf numFmtId="164" fontId="9" fillId="11" borderId="29" xfId="0" applyNumberFormat="1" applyFont="1" applyFill="1" applyBorder="1" applyAlignment="1">
      <alignment horizontal="right"/>
    </xf>
    <xf numFmtId="9" fontId="9" fillId="11" borderId="30" xfId="0" applyNumberFormat="1" applyFont="1" applyFill="1" applyBorder="1" applyAlignment="1">
      <alignment horizontal="right"/>
    </xf>
    <xf numFmtId="164" fontId="9" fillId="11" borderId="28" xfId="0" applyNumberFormat="1" applyFont="1" applyFill="1" applyBorder="1" applyAlignment="1"/>
    <xf numFmtId="164" fontId="9" fillId="11" borderId="30" xfId="0" applyNumberFormat="1" applyFont="1" applyFill="1" applyBorder="1" applyAlignment="1">
      <alignment horizontal="right"/>
    </xf>
    <xf numFmtId="164" fontId="9" fillId="2" borderId="21" xfId="0" applyNumberFormat="1" applyFont="1" applyFill="1" applyBorder="1" applyAlignment="1">
      <alignment horizontal="right"/>
    </xf>
    <xf numFmtId="9" fontId="2" fillId="10" borderId="29" xfId="0" applyNumberFormat="1" applyFont="1" applyFill="1" applyBorder="1" applyAlignment="1"/>
    <xf numFmtId="49" fontId="0" fillId="12" borderId="32" xfId="0" applyNumberFormat="1" applyFont="1" applyFill="1" applyBorder="1" applyAlignment="1"/>
    <xf numFmtId="0" fontId="0" fillId="2" borderId="33" xfId="0" applyFont="1" applyFill="1" applyBorder="1" applyAlignment="1"/>
    <xf numFmtId="49" fontId="11" fillId="2" borderId="1" xfId="0" applyNumberFormat="1" applyFont="1" applyFill="1" applyBorder="1" applyAlignment="1">
      <alignment horizontal="center"/>
    </xf>
    <xf numFmtId="4" fontId="0" fillId="2" borderId="27" xfId="0" applyNumberFormat="1" applyFont="1" applyFill="1" applyBorder="1" applyAlignment="1"/>
    <xf numFmtId="49" fontId="0" fillId="2" borderId="8" xfId="0" applyNumberFormat="1" applyFont="1" applyFill="1" applyBorder="1" applyAlignment="1"/>
    <xf numFmtId="164" fontId="0" fillId="2" borderId="9" xfId="0" applyNumberFormat="1" applyFont="1" applyFill="1" applyBorder="1" applyAlignment="1"/>
    <xf numFmtId="49" fontId="0" fillId="2" borderId="21" xfId="0" applyNumberFormat="1" applyFont="1" applyFill="1" applyBorder="1" applyAlignment="1"/>
    <xf numFmtId="49" fontId="9" fillId="11" borderId="28" xfId="0" applyNumberFormat="1" applyFont="1" applyFill="1" applyBorder="1" applyAlignment="1"/>
    <xf numFmtId="164" fontId="9" fillId="11" borderId="29" xfId="0" applyNumberFormat="1" applyFont="1" applyFill="1" applyBorder="1" applyAlignment="1"/>
    <xf numFmtId="9" fontId="9" fillId="11" borderId="29" xfId="0" applyNumberFormat="1" applyFont="1" applyFill="1" applyBorder="1" applyAlignment="1"/>
    <xf numFmtId="49" fontId="0" fillId="2" borderId="17" xfId="0" applyNumberFormat="1" applyFont="1" applyFill="1" applyBorder="1" applyAlignment="1"/>
    <xf numFmtId="49" fontId="0" fillId="2" borderId="10" xfId="0" applyNumberFormat="1" applyFont="1" applyFill="1" applyBorder="1" applyAlignment="1"/>
    <xf numFmtId="164" fontId="0" fillId="2" borderId="10" xfId="0" applyNumberFormat="1" applyFont="1" applyFill="1" applyBorder="1" applyAlignment="1"/>
    <xf numFmtId="165" fontId="2" fillId="10" borderId="29" xfId="0" applyNumberFormat="1" applyFont="1" applyFill="1" applyBorder="1" applyAlignment="1"/>
    <xf numFmtId="164" fontId="2" fillId="10" borderId="30" xfId="0" applyNumberFormat="1" applyFont="1" applyFill="1" applyBorder="1" applyAlignment="1">
      <alignment horizontal="right"/>
    </xf>
    <xf numFmtId="165" fontId="2" fillId="10" borderId="31" xfId="0" applyNumberFormat="1" applyFont="1" applyFill="1" applyBorder="1" applyAlignment="1"/>
    <xf numFmtId="49" fontId="0" fillId="2" borderId="1" xfId="0" applyNumberFormat="1" applyFont="1" applyFill="1" applyBorder="1" applyAlignment="1"/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164" fontId="0" fillId="2" borderId="35" xfId="0" applyNumberFormat="1" applyFont="1" applyFill="1" applyBorder="1" applyAlignment="1"/>
    <xf numFmtId="0" fontId="0" fillId="2" borderId="36" xfId="0" applyFont="1" applyFill="1" applyBorder="1" applyAlignment="1"/>
    <xf numFmtId="0" fontId="0" fillId="2" borderId="15" xfId="0" applyFont="1" applyFill="1" applyBorder="1" applyAlignment="1"/>
    <xf numFmtId="164" fontId="0" fillId="2" borderId="15" xfId="0" applyNumberFormat="1" applyFont="1" applyFill="1" applyBorder="1" applyAlignment="1"/>
    <xf numFmtId="164" fontId="0" fillId="2" borderId="43" xfId="0" applyNumberFormat="1" applyFont="1" applyFill="1" applyBorder="1" applyAlignment="1"/>
    <xf numFmtId="0" fontId="0" fillId="2" borderId="38" xfId="0" applyFont="1" applyFill="1" applyBorder="1" applyAlignment="1"/>
    <xf numFmtId="0" fontId="0" fillId="2" borderId="39" xfId="0" applyFont="1" applyFill="1" applyBorder="1" applyAlignment="1"/>
    <xf numFmtId="164" fontId="0" fillId="2" borderId="39" xfId="0" applyNumberFormat="1" applyFont="1" applyFill="1" applyBorder="1" applyAlignment="1"/>
    <xf numFmtId="9" fontId="0" fillId="2" borderId="24" xfId="0" applyNumberFormat="1" applyFont="1" applyFill="1" applyBorder="1" applyAlignment="1"/>
    <xf numFmtId="165" fontId="9" fillId="11" borderId="29" xfId="0" applyNumberFormat="1" applyFont="1" applyFill="1" applyBorder="1" applyAlignment="1"/>
    <xf numFmtId="49" fontId="2" fillId="4" borderId="28" xfId="0" applyNumberFormat="1" applyFont="1" applyFill="1" applyBorder="1" applyAlignment="1"/>
    <xf numFmtId="165" fontId="2" fillId="4" borderId="29" xfId="0" applyNumberFormat="1" applyFont="1" applyFill="1" applyBorder="1" applyAlignment="1"/>
    <xf numFmtId="164" fontId="2" fillId="4" borderId="29" xfId="0" applyNumberFormat="1" applyFont="1" applyFill="1" applyBorder="1" applyAlignment="1">
      <alignment horizontal="right"/>
    </xf>
    <xf numFmtId="9" fontId="2" fillId="4" borderId="29" xfId="0" applyNumberFormat="1" applyFont="1" applyFill="1" applyBorder="1" applyAlignment="1"/>
    <xf numFmtId="164" fontId="2" fillId="4" borderId="30" xfId="0" applyNumberFormat="1" applyFont="1" applyFill="1" applyBorder="1" applyAlignment="1">
      <alignment horizontal="right"/>
    </xf>
    <xf numFmtId="164" fontId="2" fillId="4" borderId="26" xfId="0" applyNumberFormat="1" applyFont="1" applyFill="1" applyBorder="1" applyAlignment="1">
      <alignment horizontal="right"/>
    </xf>
    <xf numFmtId="3" fontId="12" fillId="2" borderId="17" xfId="0" applyNumberFormat="1" applyFont="1" applyFill="1" applyBorder="1" applyAlignment="1"/>
    <xf numFmtId="0" fontId="13" fillId="2" borderId="17" xfId="0" applyFont="1" applyFill="1" applyBorder="1" applyAlignment="1"/>
    <xf numFmtId="0" fontId="0" fillId="0" borderId="0" xfId="0" applyNumberFormat="1" applyFont="1" applyAlignment="1"/>
    <xf numFmtId="0" fontId="0" fillId="2" borderId="44" xfId="0" applyFont="1" applyFill="1" applyBorder="1" applyAlignment="1"/>
    <xf numFmtId="0" fontId="0" fillId="2" borderId="16" xfId="0" applyFont="1" applyFill="1" applyBorder="1" applyAlignment="1"/>
    <xf numFmtId="49" fontId="2" fillId="2" borderId="46" xfId="0" applyNumberFormat="1" applyFont="1" applyFill="1" applyBorder="1" applyAlignment="1"/>
    <xf numFmtId="49" fontId="9" fillId="2" borderId="13" xfId="0" applyNumberFormat="1" applyFont="1" applyFill="1" applyBorder="1" applyAlignment="1"/>
    <xf numFmtId="3" fontId="9" fillId="2" borderId="11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3" fontId="9" fillId="2" borderId="22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3" fontId="0" fillId="2" borderId="8" xfId="0" applyNumberFormat="1" applyFont="1" applyFill="1" applyBorder="1" applyAlignment="1"/>
    <xf numFmtId="49" fontId="2" fillId="2" borderId="13" xfId="0" applyNumberFormat="1" applyFont="1" applyFill="1" applyBorder="1" applyAlignment="1"/>
    <xf numFmtId="167" fontId="9" fillId="2" borderId="13" xfId="0" applyNumberFormat="1" applyFont="1" applyFill="1" applyBorder="1" applyAlignment="1">
      <alignment horizontal="right"/>
    </xf>
    <xf numFmtId="164" fontId="9" fillId="2" borderId="11" xfId="0" applyNumberFormat="1" applyFont="1" applyFill="1" applyBorder="1" applyAlignment="1">
      <alignment horizontal="right"/>
    </xf>
    <xf numFmtId="167" fontId="9" fillId="2" borderId="1" xfId="0" applyNumberFormat="1" applyFont="1" applyFill="1" applyBorder="1" applyAlignment="1">
      <alignment horizontal="right"/>
    </xf>
    <xf numFmtId="167" fontId="9" fillId="2" borderId="11" xfId="0" applyNumberFormat="1" applyFont="1" applyFill="1" applyBorder="1" applyAlignment="1">
      <alignment horizontal="right"/>
    </xf>
    <xf numFmtId="167" fontId="9" fillId="2" borderId="12" xfId="0" applyNumberFormat="1" applyFont="1" applyFill="1" applyBorder="1" applyAlignment="1">
      <alignment horizontal="right"/>
    </xf>
    <xf numFmtId="167" fontId="9" fillId="2" borderId="49" xfId="0" applyNumberFormat="1" applyFont="1" applyFill="1" applyBorder="1" applyAlignment="1">
      <alignment horizontal="right"/>
    </xf>
    <xf numFmtId="167" fontId="9" fillId="2" borderId="10" xfId="0" applyNumberFormat="1" applyFont="1" applyFill="1" applyBorder="1" applyAlignment="1">
      <alignment horizontal="right"/>
    </xf>
    <xf numFmtId="167" fontId="9" fillId="2" borderId="18" xfId="0" applyNumberFormat="1" applyFont="1" applyFill="1" applyBorder="1" applyAlignment="1">
      <alignment horizontal="right"/>
    </xf>
    <xf numFmtId="167" fontId="9" fillId="2" borderId="50" xfId="0" applyNumberFormat="1" applyFont="1" applyFill="1" applyBorder="1" applyAlignment="1">
      <alignment horizontal="right"/>
    </xf>
    <xf numFmtId="167" fontId="9" fillId="2" borderId="22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/>
    <xf numFmtId="3" fontId="0" fillId="2" borderId="1" xfId="0" applyNumberFormat="1" applyFont="1" applyFill="1" applyBorder="1" applyAlignment="1"/>
    <xf numFmtId="167" fontId="9" fillId="2" borderId="46" xfId="0" applyNumberFormat="1" applyFont="1" applyFill="1" applyBorder="1" applyAlignment="1">
      <alignment horizontal="right"/>
    </xf>
    <xf numFmtId="168" fontId="9" fillId="2" borderId="21" xfId="0" applyNumberFormat="1" applyFont="1" applyFill="1" applyBorder="1" applyAlignment="1">
      <alignment horizontal="right"/>
    </xf>
    <xf numFmtId="164" fontId="9" fillId="2" borderId="22" xfId="0" applyNumberFormat="1" applyFont="1" applyFill="1" applyBorder="1" applyAlignment="1">
      <alignment horizontal="right"/>
    </xf>
    <xf numFmtId="0" fontId="9" fillId="2" borderId="22" xfId="0" applyNumberFormat="1" applyFont="1" applyFill="1" applyBorder="1" applyAlignment="1">
      <alignment horizontal="right"/>
    </xf>
    <xf numFmtId="167" fontId="9" fillId="2" borderId="9" xfId="0" applyNumberFormat="1" applyFont="1" applyFill="1" applyBorder="1" applyAlignment="1">
      <alignment horizontal="right"/>
    </xf>
    <xf numFmtId="49" fontId="9" fillId="2" borderId="26" xfId="0" applyNumberFormat="1" applyFont="1" applyFill="1" applyBorder="1" applyAlignment="1"/>
    <xf numFmtId="49" fontId="9" fillId="2" borderId="26" xfId="0" applyNumberFormat="1" applyFont="1" applyFill="1" applyBorder="1" applyAlignment="1">
      <alignment horizontal="right"/>
    </xf>
    <xf numFmtId="167" fontId="9" fillId="2" borderId="26" xfId="0" applyNumberFormat="1" applyFont="1" applyFill="1" applyBorder="1" applyAlignment="1">
      <alignment horizontal="right"/>
    </xf>
    <xf numFmtId="164" fontId="9" fillId="2" borderId="23" xfId="0" applyNumberFormat="1" applyFont="1" applyFill="1" applyBorder="1" applyAlignment="1">
      <alignment horizontal="right"/>
    </xf>
    <xf numFmtId="49" fontId="9" fillId="2" borderId="23" xfId="0" applyNumberFormat="1" applyFont="1" applyFill="1" applyBorder="1" applyAlignment="1">
      <alignment horizontal="right"/>
    </xf>
    <xf numFmtId="167" fontId="9" fillId="2" borderId="25" xfId="0" applyNumberFormat="1" applyFont="1" applyFill="1" applyBorder="1" applyAlignment="1">
      <alignment horizontal="right"/>
    </xf>
    <xf numFmtId="167" fontId="9" fillId="2" borderId="51" xfId="0" applyNumberFormat="1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164" fontId="9" fillId="2" borderId="26" xfId="0" applyNumberFormat="1" applyFont="1" applyFill="1" applyBorder="1" applyAlignment="1">
      <alignment horizontal="right"/>
    </xf>
    <xf numFmtId="0" fontId="9" fillId="2" borderId="21" xfId="0" applyFont="1" applyFill="1" applyBorder="1" applyAlignment="1"/>
    <xf numFmtId="0" fontId="9" fillId="2" borderId="46" xfId="0" applyFont="1" applyFill="1" applyBorder="1" applyAlignment="1"/>
    <xf numFmtId="0" fontId="9" fillId="2" borderId="26" xfId="0" applyFont="1" applyFill="1" applyBorder="1" applyAlignment="1"/>
    <xf numFmtId="49" fontId="9" fillId="4" borderId="28" xfId="0" applyNumberFormat="1" applyFont="1" applyFill="1" applyBorder="1" applyAlignment="1"/>
    <xf numFmtId="167" fontId="9" fillId="4" borderId="29" xfId="0" applyNumberFormat="1" applyFont="1" applyFill="1" applyBorder="1" applyAlignment="1">
      <alignment horizontal="right"/>
    </xf>
    <xf numFmtId="167" fontId="9" fillId="4" borderId="30" xfId="0" applyNumberFormat="1" applyFont="1" applyFill="1" applyBorder="1" applyAlignment="1">
      <alignment horizontal="right"/>
    </xf>
    <xf numFmtId="167" fontId="9" fillId="4" borderId="28" xfId="0" applyNumberFormat="1" applyFont="1" applyFill="1" applyBorder="1" applyAlignment="1">
      <alignment horizontal="right"/>
    </xf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49" fontId="9" fillId="2" borderId="28" xfId="0" applyNumberFormat="1" applyFont="1" applyFill="1" applyBorder="1" applyAlignment="1"/>
    <xf numFmtId="0" fontId="9" fillId="2" borderId="29" xfId="0" applyFont="1" applyFill="1" applyBorder="1" applyAlignment="1"/>
    <xf numFmtId="0" fontId="9" fillId="2" borderId="31" xfId="0" applyFont="1" applyFill="1" applyBorder="1" applyAlignment="1"/>
    <xf numFmtId="49" fontId="9" fillId="2" borderId="24" xfId="0" applyNumberFormat="1" applyFont="1" applyFill="1" applyBorder="1" applyAlignment="1"/>
    <xf numFmtId="49" fontId="9" fillId="2" borderId="25" xfId="0" applyNumberFormat="1" applyFont="1" applyFill="1" applyBorder="1" applyAlignment="1"/>
    <xf numFmtId="49" fontId="15" fillId="2" borderId="13" xfId="0" applyNumberFormat="1" applyFont="1" applyFill="1" applyBorder="1" applyAlignment="1"/>
    <xf numFmtId="167" fontId="0" fillId="2" borderId="13" xfId="0" applyNumberFormat="1" applyFont="1" applyFill="1" applyBorder="1" applyAlignment="1"/>
    <xf numFmtId="167" fontId="0" fillId="2" borderId="18" xfId="0" applyNumberFormat="1" applyFont="1" applyFill="1" applyBorder="1" applyAlignment="1"/>
    <xf numFmtId="49" fontId="15" fillId="2" borderId="21" xfId="0" applyNumberFormat="1" applyFont="1" applyFill="1" applyBorder="1" applyAlignment="1"/>
    <xf numFmtId="167" fontId="9" fillId="2" borderId="21" xfId="0" applyNumberFormat="1" applyFont="1" applyFill="1" applyBorder="1" applyAlignment="1">
      <alignment horizontal="right"/>
    </xf>
    <xf numFmtId="167" fontId="0" fillId="2" borderId="21" xfId="0" applyNumberFormat="1" applyFont="1" applyFill="1" applyBorder="1" applyAlignment="1"/>
    <xf numFmtId="167" fontId="0" fillId="2" borderId="22" xfId="0" applyNumberFormat="1" applyFont="1" applyFill="1" applyBorder="1" applyAlignment="1"/>
    <xf numFmtId="49" fontId="9" fillId="4" borderId="26" xfId="0" applyNumberFormat="1" applyFont="1" applyFill="1" applyBorder="1" applyAlignment="1"/>
    <xf numFmtId="167" fontId="9" fillId="4" borderId="26" xfId="0" applyNumberFormat="1" applyFont="1" applyFill="1" applyBorder="1" applyAlignment="1">
      <alignment horizontal="right"/>
    </xf>
    <xf numFmtId="167" fontId="15" fillId="2" borderId="26" xfId="0" applyNumberFormat="1" applyFont="1" applyFill="1" applyBorder="1" applyAlignment="1">
      <alignment horizontal="right"/>
    </xf>
    <xf numFmtId="167" fontId="0" fillId="2" borderId="26" xfId="0" applyNumberFormat="1" applyFont="1" applyFill="1" applyBorder="1" applyAlignment="1"/>
    <xf numFmtId="167" fontId="9" fillId="4" borderId="46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49" fontId="16" fillId="3" borderId="52" xfId="0" applyNumberFormat="1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49" fontId="2" fillId="14" borderId="46" xfId="0" applyNumberFormat="1" applyFont="1" applyFill="1" applyBorder="1" applyAlignment="1">
      <alignment horizontal="center"/>
    </xf>
    <xf numFmtId="49" fontId="2" fillId="15" borderId="46" xfId="0" applyNumberFormat="1" applyFont="1" applyFill="1" applyBorder="1" applyAlignment="1">
      <alignment horizontal="center"/>
    </xf>
    <xf numFmtId="49" fontId="7" fillId="6" borderId="46" xfId="0" applyNumberFormat="1" applyFont="1" applyFill="1" applyBorder="1" applyAlignment="1">
      <alignment horizontal="center"/>
    </xf>
    <xf numFmtId="49" fontId="2" fillId="16" borderId="46" xfId="0" applyNumberFormat="1" applyFont="1" applyFill="1" applyBorder="1" applyAlignment="1">
      <alignment horizontal="center"/>
    </xf>
    <xf numFmtId="49" fontId="2" fillId="2" borderId="46" xfId="0" applyNumberFormat="1" applyFont="1" applyFill="1" applyBorder="1" applyAlignment="1">
      <alignment horizontal="center"/>
    </xf>
    <xf numFmtId="49" fontId="2" fillId="17" borderId="46" xfId="0" applyNumberFormat="1" applyFont="1" applyFill="1" applyBorder="1" applyAlignment="1">
      <alignment horizontal="center"/>
    </xf>
    <xf numFmtId="49" fontId="2" fillId="2" borderId="38" xfId="0" applyNumberFormat="1" applyFont="1" applyFill="1" applyBorder="1" applyAlignment="1">
      <alignment horizontal="center"/>
    </xf>
    <xf numFmtId="0" fontId="0" fillId="2" borderId="13" xfId="0" applyFont="1" applyFill="1" applyBorder="1" applyAlignment="1"/>
    <xf numFmtId="0" fontId="9" fillId="2" borderId="18" xfId="0" applyFont="1" applyFill="1" applyBorder="1" applyAlignment="1"/>
    <xf numFmtId="164" fontId="9" fillId="2" borderId="10" xfId="0" applyNumberFormat="1" applyFont="1" applyFill="1" applyBorder="1" applyAlignment="1"/>
    <xf numFmtId="0" fontId="0" fillId="2" borderId="26" xfId="0" applyFont="1" applyFill="1" applyBorder="1" applyAlignment="1"/>
    <xf numFmtId="164" fontId="2" fillId="2" borderId="26" xfId="0" applyNumberFormat="1" applyFont="1" applyFill="1" applyBorder="1" applyAlignment="1"/>
    <xf numFmtId="164" fontId="2" fillId="2" borderId="13" xfId="0" applyNumberFormat="1" applyFont="1" applyFill="1" applyBorder="1" applyAlignment="1"/>
    <xf numFmtId="0" fontId="9" fillId="2" borderId="18" xfId="0" applyFont="1" applyFill="1" applyBorder="1" applyAlignment="1">
      <alignment horizontal="left"/>
    </xf>
    <xf numFmtId="0" fontId="8" fillId="2" borderId="1" xfId="0" applyFont="1" applyFill="1" applyBorder="1" applyAlignment="1"/>
    <xf numFmtId="49" fontId="0" fillId="2" borderId="49" xfId="0" applyNumberFormat="1" applyFont="1" applyFill="1" applyBorder="1" applyAlignment="1"/>
    <xf numFmtId="164" fontId="9" fillId="2" borderId="49" xfId="0" applyNumberFormat="1" applyFont="1" applyFill="1" applyBorder="1" applyAlignment="1">
      <alignment horizontal="right"/>
    </xf>
    <xf numFmtId="49" fontId="2" fillId="15" borderId="50" xfId="0" applyNumberFormat="1" applyFont="1" applyFill="1" applyBorder="1" applyAlignment="1"/>
    <xf numFmtId="0" fontId="0" fillId="15" borderId="50" xfId="0" applyFont="1" applyFill="1" applyBorder="1" applyAlignment="1"/>
    <xf numFmtId="164" fontId="0" fillId="15" borderId="50" xfId="0" applyNumberFormat="1" applyFont="1" applyFill="1" applyBorder="1" applyAlignment="1"/>
    <xf numFmtId="49" fontId="9" fillId="2" borderId="53" xfId="0" applyNumberFormat="1" applyFont="1" applyFill="1" applyBorder="1" applyAlignment="1"/>
    <xf numFmtId="164" fontId="9" fillId="2" borderId="50" xfId="0" applyNumberFormat="1" applyFont="1" applyFill="1" applyBorder="1" applyAlignment="1">
      <alignment horizontal="right"/>
    </xf>
    <xf numFmtId="164" fontId="9" fillId="2" borderId="53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/>
    <xf numFmtId="0" fontId="9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8" fillId="2" borderId="1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/>
    <xf numFmtId="165" fontId="2" fillId="2" borderId="26" xfId="0" applyNumberFormat="1" applyFont="1" applyFill="1" applyBorder="1" applyAlignment="1"/>
    <xf numFmtId="0" fontId="2" fillId="2" borderId="13" xfId="0" applyFont="1" applyFill="1" applyBorder="1" applyAlignment="1"/>
    <xf numFmtId="164" fontId="0" fillId="2" borderId="10" xfId="0" applyNumberFormat="1" applyFont="1" applyFill="1" applyBorder="1" applyAlignment="1">
      <alignment horizontal="right"/>
    </xf>
    <xf numFmtId="49" fontId="0" fillId="2" borderId="27" xfId="0" applyNumberFormat="1" applyFont="1" applyFill="1" applyBorder="1" applyAlignment="1"/>
    <xf numFmtId="49" fontId="17" fillId="5" borderId="32" xfId="0" applyNumberFormat="1" applyFont="1" applyFill="1" applyBorder="1" applyAlignment="1"/>
    <xf numFmtId="49" fontId="0" fillId="2" borderId="33" xfId="0" applyNumberFormat="1" applyFont="1" applyFill="1" applyBorder="1" applyAlignment="1"/>
    <xf numFmtId="49" fontId="18" fillId="2" borderId="10" xfId="0" applyNumberFormat="1" applyFont="1" applyFill="1" applyBorder="1" applyAlignment="1"/>
    <xf numFmtId="49" fontId="0" fillId="2" borderId="18" xfId="0" applyNumberFormat="1" applyFont="1" applyFill="1" applyBorder="1" applyAlignment="1"/>
    <xf numFmtId="164" fontId="0" fillId="2" borderId="21" xfId="0" applyNumberFormat="1" applyFont="1" applyFill="1" applyBorder="1" applyAlignment="1"/>
    <xf numFmtId="49" fontId="18" fillId="2" borderId="1" xfId="0" applyNumberFormat="1" applyFont="1" applyFill="1" applyBorder="1" applyAlignment="1"/>
    <xf numFmtId="0" fontId="18" fillId="2" borderId="10" xfId="0" applyFont="1" applyFill="1" applyBorder="1" applyAlignment="1"/>
    <xf numFmtId="0" fontId="0" fillId="2" borderId="1" xfId="0" applyNumberFormat="1" applyFont="1" applyFill="1" applyBorder="1" applyAlignment="1"/>
    <xf numFmtId="49" fontId="0" fillId="18" borderId="50" xfId="0" applyNumberFormat="1" applyFont="1" applyFill="1" applyBorder="1" applyAlignment="1"/>
    <xf numFmtId="49" fontId="8" fillId="13" borderId="50" xfId="0" applyNumberFormat="1" applyFont="1" applyFill="1" applyBorder="1" applyAlignment="1"/>
    <xf numFmtId="49" fontId="0" fillId="2" borderId="50" xfId="0" applyNumberFormat="1" applyFont="1" applyFill="1" applyBorder="1" applyAlignment="1"/>
    <xf numFmtId="49" fontId="9" fillId="12" borderId="50" xfId="0" applyNumberFormat="1" applyFont="1" applyFill="1" applyBorder="1" applyAlignment="1"/>
    <xf numFmtId="49" fontId="2" fillId="13" borderId="50" xfId="0" applyNumberFormat="1" applyFont="1" applyFill="1" applyBorder="1" applyAlignment="1"/>
    <xf numFmtId="49" fontId="2" fillId="2" borderId="53" xfId="0" applyNumberFormat="1" applyFont="1" applyFill="1" applyBorder="1" applyAlignment="1"/>
    <xf numFmtId="0" fontId="2" fillId="2" borderId="53" xfId="0" applyFont="1" applyFill="1" applyBorder="1" applyAlignment="1"/>
    <xf numFmtId="49" fontId="0" fillId="2" borderId="53" xfId="0" applyNumberFormat="1" applyFont="1" applyFill="1" applyBorder="1" applyAlignment="1"/>
    <xf numFmtId="0" fontId="0" fillId="13" borderId="50" xfId="0" applyFont="1" applyFill="1" applyBorder="1" applyAlignment="1"/>
    <xf numFmtId="164" fontId="19" fillId="2" borderId="10" xfId="0" applyNumberFormat="1" applyFont="1" applyFill="1" applyBorder="1" applyAlignment="1"/>
    <xf numFmtId="49" fontId="0" fillId="2" borderId="46" xfId="0" applyNumberFormat="1" applyFont="1" applyFill="1" applyBorder="1" applyAlignment="1"/>
    <xf numFmtId="169" fontId="9" fillId="2" borderId="10" xfId="0" applyNumberFormat="1" applyFont="1" applyFill="1" applyBorder="1" applyAlignment="1">
      <alignment horizontal="right" wrapText="1"/>
    </xf>
    <xf numFmtId="168" fontId="9" fillId="2" borderId="10" xfId="0" applyNumberFormat="1" applyFont="1" applyFill="1" applyBorder="1" applyAlignment="1">
      <alignment horizontal="right" wrapText="1"/>
    </xf>
    <xf numFmtId="0" fontId="0" fillId="2" borderId="10" xfId="0" applyFont="1" applyFill="1" applyBorder="1" applyAlignment="1">
      <alignment wrapText="1"/>
    </xf>
    <xf numFmtId="49" fontId="9" fillId="2" borderId="10" xfId="0" applyNumberFormat="1" applyFont="1" applyFill="1" applyBorder="1" applyAlignment="1">
      <alignment horizontal="right" wrapText="1"/>
    </xf>
    <xf numFmtId="0" fontId="15" fillId="2" borderId="18" xfId="0" applyFont="1" applyFill="1" applyBorder="1" applyAlignment="1"/>
    <xf numFmtId="49" fontId="8" fillId="2" borderId="1" xfId="0" applyNumberFormat="1" applyFont="1" applyFill="1" applyBorder="1" applyAlignment="1"/>
    <xf numFmtId="0" fontId="9" fillId="2" borderId="10" xfId="0" applyFont="1" applyFill="1" applyBorder="1" applyAlignment="1">
      <alignment horizontal="right" wrapText="1"/>
    </xf>
    <xf numFmtId="0" fontId="0" fillId="2" borderId="21" xfId="0" applyFont="1" applyFill="1" applyBorder="1" applyAlignment="1"/>
    <xf numFmtId="49" fontId="9" fillId="2" borderId="21" xfId="0" applyNumberFormat="1" applyFont="1" applyFill="1" applyBorder="1" applyAlignment="1">
      <alignment horizontal="right" wrapText="1"/>
    </xf>
    <xf numFmtId="164" fontId="0" fillId="2" borderId="11" xfId="0" applyNumberFormat="1" applyFont="1" applyFill="1" applyBorder="1" applyAlignment="1"/>
    <xf numFmtId="0" fontId="9" fillId="2" borderId="17" xfId="0" applyFont="1" applyFill="1" applyBorder="1" applyAlignment="1"/>
    <xf numFmtId="164" fontId="9" fillId="2" borderId="18" xfId="0" applyNumberFormat="1" applyFont="1" applyFill="1" applyBorder="1" applyAlignment="1">
      <alignment horizontal="left"/>
    </xf>
    <xf numFmtId="0" fontId="9" fillId="2" borderId="10" xfId="0" applyFont="1" applyFill="1" applyBorder="1" applyAlignment="1">
      <alignment horizontal="right"/>
    </xf>
    <xf numFmtId="49" fontId="9" fillId="2" borderId="10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/>
    <xf numFmtId="49" fontId="2" fillId="2" borderId="21" xfId="0" applyNumberFormat="1" applyFont="1" applyFill="1" applyBorder="1" applyAlignment="1"/>
    <xf numFmtId="164" fontId="2" fillId="2" borderId="21" xfId="0" applyNumberFormat="1" applyFont="1" applyFill="1" applyBorder="1" applyAlignment="1"/>
    <xf numFmtId="0" fontId="0" fillId="0" borderId="0" xfId="0" applyNumberFormat="1" applyFont="1" applyAlignment="1"/>
    <xf numFmtId="49" fontId="2" fillId="14" borderId="46" xfId="0" applyNumberFormat="1" applyFont="1" applyFill="1" applyBorder="1" applyAlignment="1"/>
    <xf numFmtId="49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164" fontId="0" fillId="2" borderId="51" xfId="0" applyNumberFormat="1" applyFont="1" applyFill="1" applyBorder="1" applyAlignment="1"/>
    <xf numFmtId="0" fontId="18" fillId="2" borderId="1" xfId="0" applyFont="1" applyFill="1" applyBorder="1" applyAlignment="1"/>
    <xf numFmtId="0" fontId="9" fillId="2" borderId="10" xfId="0" applyFont="1" applyFill="1" applyBorder="1" applyAlignment="1"/>
    <xf numFmtId="49" fontId="20" fillId="2" borderId="10" xfId="0" applyNumberFormat="1" applyFont="1" applyFill="1" applyBorder="1" applyAlignment="1"/>
    <xf numFmtId="49" fontId="2" fillId="2" borderId="18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right"/>
    </xf>
    <xf numFmtId="0" fontId="9" fillId="2" borderId="13" xfId="0" applyFont="1" applyFill="1" applyBorder="1" applyAlignment="1"/>
    <xf numFmtId="164" fontId="21" fillId="2" borderId="10" xfId="0" applyNumberFormat="1" applyFont="1" applyFill="1" applyBorder="1" applyAlignment="1">
      <alignment horizontal="right"/>
    </xf>
    <xf numFmtId="49" fontId="22" fillId="13" borderId="26" xfId="0" applyNumberFormat="1" applyFont="1" applyFill="1" applyBorder="1" applyAlignment="1"/>
    <xf numFmtId="49" fontId="23" fillId="5" borderId="25" xfId="0" applyNumberFormat="1" applyFont="1" applyFill="1" applyBorder="1" applyAlignment="1">
      <alignment horizontal="right"/>
    </xf>
    <xf numFmtId="49" fontId="17" fillId="5" borderId="54" xfId="0" applyNumberFormat="1" applyFont="1" applyFill="1" applyBorder="1" applyAlignment="1"/>
    <xf numFmtId="165" fontId="2" fillId="2" borderId="10" xfId="0" applyNumberFormat="1" applyFont="1" applyFill="1" applyBorder="1" applyAlignment="1"/>
    <xf numFmtId="0" fontId="2" fillId="2" borderId="26" xfId="0" applyFont="1" applyFill="1" applyBorder="1" applyAlignment="1"/>
    <xf numFmtId="0" fontId="2" fillId="2" borderId="4" xfId="0" applyFont="1" applyFill="1" applyBorder="1" applyAlignment="1"/>
    <xf numFmtId="164" fontId="2" fillId="2" borderId="4" xfId="0" applyNumberFormat="1" applyFont="1" applyFill="1" applyBorder="1" applyAlignment="1"/>
    <xf numFmtId="164" fontId="2" fillId="2" borderId="4" xfId="0" applyNumberFormat="1" applyFont="1" applyFill="1" applyBorder="1" applyAlignment="1">
      <alignment horizontal="right"/>
    </xf>
    <xf numFmtId="0" fontId="0" fillId="0" borderId="0" xfId="0" applyNumberFormat="1" applyFont="1" applyAlignment="1"/>
    <xf numFmtId="49" fontId="2" fillId="2" borderId="21" xfId="0" applyNumberFormat="1" applyFont="1" applyFill="1" applyBorder="1" applyAlignment="1">
      <alignment horizontal="center"/>
    </xf>
    <xf numFmtId="49" fontId="2" fillId="14" borderId="21" xfId="0" applyNumberFormat="1" applyFont="1" applyFill="1" applyBorder="1" applyAlignment="1">
      <alignment horizontal="center"/>
    </xf>
    <xf numFmtId="164" fontId="2" fillId="17" borderId="51" xfId="0" applyNumberFormat="1" applyFont="1" applyFill="1" applyBorder="1" applyAlignment="1"/>
    <xf numFmtId="164" fontId="2" fillId="2" borderId="51" xfId="0" applyNumberFormat="1" applyFont="1" applyFill="1" applyBorder="1" applyAlignment="1">
      <alignment horizontal="center"/>
    </xf>
    <xf numFmtId="164" fontId="2" fillId="17" borderId="50" xfId="0" applyNumberFormat="1" applyFont="1" applyFill="1" applyBorder="1" applyAlignment="1"/>
    <xf numFmtId="164" fontId="2" fillId="2" borderId="50" xfId="0" applyNumberFormat="1" applyFont="1" applyFill="1" applyBorder="1" applyAlignment="1">
      <alignment horizontal="center"/>
    </xf>
    <xf numFmtId="164" fontId="9" fillId="2" borderId="49" xfId="0" applyNumberFormat="1" applyFont="1" applyFill="1" applyBorder="1" applyAlignment="1"/>
    <xf numFmtId="164" fontId="9" fillId="2" borderId="50" xfId="0" applyNumberFormat="1" applyFont="1" applyFill="1" applyBorder="1" applyAlignment="1"/>
    <xf numFmtId="164" fontId="9" fillId="2" borderId="53" xfId="0" applyNumberFormat="1" applyFont="1" applyFill="1" applyBorder="1" applyAlignment="1"/>
    <xf numFmtId="0" fontId="0" fillId="2" borderId="22" xfId="0" applyFont="1" applyFill="1" applyBorder="1" applyAlignment="1"/>
    <xf numFmtId="164" fontId="2" fillId="2" borderId="50" xfId="0" applyNumberFormat="1" applyFont="1" applyFill="1" applyBorder="1" applyAlignment="1"/>
    <xf numFmtId="0" fontId="9" fillId="2" borderId="26" xfId="0" applyFont="1" applyFill="1" applyBorder="1" applyAlignment="1">
      <alignment horizontal="left"/>
    </xf>
    <xf numFmtId="164" fontId="2" fillId="17" borderId="46" xfId="0" applyNumberFormat="1" applyFont="1" applyFill="1" applyBorder="1" applyAlignment="1"/>
    <xf numFmtId="164" fontId="2" fillId="2" borderId="46" xfId="0" applyNumberFormat="1" applyFont="1" applyFill="1" applyBorder="1" applyAlignment="1">
      <alignment horizontal="center"/>
    </xf>
    <xf numFmtId="164" fontId="2" fillId="17" borderId="26" xfId="0" applyNumberFormat="1" applyFont="1" applyFill="1" applyBorder="1" applyAlignment="1"/>
    <xf numFmtId="164" fontId="2" fillId="2" borderId="26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/>
    <xf numFmtId="0" fontId="8" fillId="2" borderId="26" xfId="0" applyFont="1" applyFill="1" applyBorder="1" applyAlignment="1"/>
    <xf numFmtId="164" fontId="8" fillId="2" borderId="26" xfId="0" applyNumberFormat="1" applyFont="1" applyFill="1" applyBorder="1" applyAlignment="1"/>
    <xf numFmtId="164" fontId="8" fillId="2" borderId="13" xfId="0" applyNumberFormat="1" applyFont="1" applyFill="1" applyBorder="1" applyAlignment="1"/>
    <xf numFmtId="0" fontId="0" fillId="2" borderId="14" xfId="0" applyFont="1" applyFill="1" applyBorder="1" applyAlignment="1"/>
    <xf numFmtId="0" fontId="0" fillId="2" borderId="52" xfId="0" applyFont="1" applyFill="1" applyBorder="1" applyAlignment="1"/>
    <xf numFmtId="0" fontId="0" fillId="2" borderId="55" xfId="0" applyFont="1" applyFill="1" applyBorder="1" applyAlignment="1"/>
    <xf numFmtId="49" fontId="2" fillId="2" borderId="11" xfId="0" applyNumberFormat="1" applyFont="1" applyFill="1" applyBorder="1" applyAlignment="1"/>
    <xf numFmtId="0" fontId="0" fillId="2" borderId="51" xfId="0" applyFont="1" applyFill="1" applyBorder="1" applyAlignment="1"/>
    <xf numFmtId="49" fontId="9" fillId="2" borderId="50" xfId="0" applyNumberFormat="1" applyFont="1" applyFill="1" applyBorder="1" applyAlignment="1">
      <alignment horizontal="right"/>
    </xf>
    <xf numFmtId="49" fontId="9" fillId="2" borderId="50" xfId="0" applyNumberFormat="1" applyFont="1" applyFill="1" applyBorder="1" applyAlignment="1"/>
    <xf numFmtId="49" fontId="9" fillId="2" borderId="9" xfId="0" applyNumberFormat="1" applyFont="1" applyFill="1" applyBorder="1" applyAlignment="1"/>
    <xf numFmtId="164" fontId="9" fillId="2" borderId="46" xfId="0" applyNumberFormat="1" applyFont="1" applyFill="1" applyBorder="1" applyAlignment="1">
      <alignment horizontal="right"/>
    </xf>
    <xf numFmtId="167" fontId="2" fillId="2" borderId="26" xfId="0" applyNumberFormat="1" applyFont="1" applyFill="1" applyBorder="1" applyAlignment="1">
      <alignment horizontal="right"/>
    </xf>
    <xf numFmtId="49" fontId="9" fillId="2" borderId="49" xfId="0" applyNumberFormat="1" applyFont="1" applyFill="1" applyBorder="1" applyAlignment="1"/>
    <xf numFmtId="49" fontId="9" fillId="2" borderId="37" xfId="0" applyNumberFormat="1" applyFont="1" applyFill="1" applyBorder="1" applyAlignment="1">
      <alignment horizontal="left"/>
    </xf>
    <xf numFmtId="0" fontId="9" fillId="13" borderId="40" xfId="0" applyFont="1" applyFill="1" applyBorder="1" applyAlignment="1"/>
    <xf numFmtId="49" fontId="9" fillId="2" borderId="46" xfId="0" applyNumberFormat="1" applyFont="1" applyFill="1" applyBorder="1" applyAlignment="1"/>
    <xf numFmtId="164" fontId="0" fillId="2" borderId="21" xfId="0" applyNumberFormat="1" applyFont="1" applyFill="1" applyBorder="1" applyAlignment="1">
      <alignment horizontal="right"/>
    </xf>
    <xf numFmtId="49" fontId="9" fillId="2" borderId="21" xfId="0" applyNumberFormat="1" applyFont="1" applyFill="1" applyBorder="1" applyAlignment="1">
      <alignment horizontal="right"/>
    </xf>
    <xf numFmtId="164" fontId="8" fillId="2" borderId="26" xfId="0" applyNumberFormat="1" applyFont="1" applyFill="1" applyBorder="1" applyAlignment="1">
      <alignment horizontal="right"/>
    </xf>
    <xf numFmtId="169" fontId="0" fillId="2" borderId="49" xfId="0" applyNumberFormat="1" applyFont="1" applyFill="1" applyBorder="1" applyAlignment="1">
      <alignment horizontal="right"/>
    </xf>
    <xf numFmtId="169" fontId="0" fillId="2" borderId="50" xfId="0" applyNumberFormat="1" applyFont="1" applyFill="1" applyBorder="1" applyAlignment="1">
      <alignment horizontal="right"/>
    </xf>
    <xf numFmtId="164" fontId="0" fillId="2" borderId="50" xfId="0" applyNumberFormat="1" applyFont="1" applyFill="1" applyBorder="1" applyAlignment="1">
      <alignment horizontal="right"/>
    </xf>
    <xf numFmtId="0" fontId="9" fillId="13" borderId="50" xfId="0" applyFont="1" applyFill="1" applyBorder="1" applyAlignment="1"/>
    <xf numFmtId="49" fontId="2" fillId="2" borderId="53" xfId="0" applyNumberFormat="1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164" fontId="0" fillId="2" borderId="50" xfId="0" applyNumberFormat="1" applyFont="1" applyFill="1" applyBorder="1" applyAlignment="1"/>
    <xf numFmtId="164" fontId="0" fillId="2" borderId="46" xfId="0" applyNumberFormat="1" applyFont="1" applyFill="1" applyBorder="1" applyAlignment="1"/>
    <xf numFmtId="169" fontId="2" fillId="2" borderId="26" xfId="0" applyNumberFormat="1" applyFont="1" applyFill="1" applyBorder="1" applyAlignment="1"/>
    <xf numFmtId="164" fontId="0" fillId="2" borderId="13" xfId="0" applyNumberFormat="1" applyFont="1" applyFill="1" applyBorder="1" applyAlignment="1">
      <alignment horizontal="right"/>
    </xf>
    <xf numFmtId="164" fontId="0" fillId="2" borderId="49" xfId="0" applyNumberFormat="1" applyFont="1" applyFill="1" applyBorder="1" applyAlignment="1">
      <alignment horizontal="right"/>
    </xf>
    <xf numFmtId="164" fontId="0" fillId="2" borderId="53" xfId="0" applyNumberFormat="1" applyFont="1" applyFill="1" applyBorder="1" applyAlignment="1">
      <alignment horizontal="right"/>
    </xf>
    <xf numFmtId="169" fontId="0" fillId="2" borderId="10" xfId="0" applyNumberFormat="1" applyFont="1" applyFill="1" applyBorder="1" applyAlignment="1">
      <alignment horizontal="right"/>
    </xf>
    <xf numFmtId="169" fontId="0" fillId="2" borderId="10" xfId="0" applyNumberFormat="1" applyFont="1" applyFill="1" applyBorder="1" applyAlignment="1"/>
    <xf numFmtId="49" fontId="9" fillId="2" borderId="26" xfId="0" applyNumberFormat="1" applyFont="1" applyFill="1" applyBorder="1" applyAlignment="1">
      <alignment horizontal="left"/>
    </xf>
    <xf numFmtId="169" fontId="9" fillId="2" borderId="10" xfId="0" applyNumberFormat="1" applyFont="1" applyFill="1" applyBorder="1" applyAlignment="1">
      <alignment horizontal="right"/>
    </xf>
    <xf numFmtId="169" fontId="9" fillId="2" borderId="10" xfId="0" applyNumberFormat="1" applyFont="1" applyFill="1" applyBorder="1" applyAlignment="1"/>
    <xf numFmtId="0" fontId="9" fillId="2" borderId="49" xfId="0" applyFont="1" applyFill="1" applyBorder="1" applyAlignment="1"/>
    <xf numFmtId="169" fontId="9" fillId="2" borderId="49" xfId="0" applyNumberFormat="1" applyFont="1" applyFill="1" applyBorder="1" applyAlignment="1">
      <alignment horizontal="right"/>
    </xf>
    <xf numFmtId="49" fontId="9" fillId="2" borderId="51" xfId="0" applyNumberFormat="1" applyFont="1" applyFill="1" applyBorder="1" applyAlignment="1"/>
    <xf numFmtId="169" fontId="9" fillId="2" borderId="50" xfId="0" applyNumberFormat="1" applyFont="1" applyFill="1" applyBorder="1" applyAlignment="1">
      <alignment horizontal="right"/>
    </xf>
    <xf numFmtId="169" fontId="9" fillId="2" borderId="53" xfId="0" applyNumberFormat="1" applyFont="1" applyFill="1" applyBorder="1" applyAlignment="1">
      <alignment horizontal="right"/>
    </xf>
    <xf numFmtId="49" fontId="0" fillId="2" borderId="44" xfId="0" applyNumberFormat="1" applyFont="1" applyFill="1" applyBorder="1" applyAlignment="1"/>
    <xf numFmtId="169" fontId="9" fillId="2" borderId="18" xfId="0" applyNumberFormat="1" applyFont="1" applyFill="1" applyBorder="1" applyAlignment="1">
      <alignment horizontal="right"/>
    </xf>
    <xf numFmtId="169" fontId="9" fillId="2" borderId="17" xfId="0" applyNumberFormat="1" applyFont="1" applyFill="1" applyBorder="1" applyAlignment="1">
      <alignment horizontal="right"/>
    </xf>
    <xf numFmtId="169" fontId="2" fillId="2" borderId="25" xfId="0" applyNumberFormat="1" applyFont="1" applyFill="1" applyBorder="1" applyAlignment="1"/>
    <xf numFmtId="164" fontId="2" fillId="2" borderId="23" xfId="0" applyNumberFormat="1" applyFont="1" applyFill="1" applyBorder="1" applyAlignment="1">
      <alignment horizontal="right"/>
    </xf>
    <xf numFmtId="164" fontId="8" fillId="2" borderId="10" xfId="0" applyNumberFormat="1" applyFont="1" applyFill="1" applyBorder="1" applyAlignment="1"/>
    <xf numFmtId="169" fontId="2" fillId="2" borderId="10" xfId="0" applyNumberFormat="1" applyFont="1" applyFill="1" applyBorder="1" applyAlignment="1"/>
    <xf numFmtId="49" fontId="8" fillId="2" borderId="10" xfId="0" applyNumberFormat="1" applyFont="1" applyFill="1" applyBorder="1" applyAlignment="1"/>
    <xf numFmtId="169" fontId="2" fillId="2" borderId="21" xfId="0" applyNumberFormat="1" applyFont="1" applyFill="1" applyBorder="1" applyAlignment="1"/>
    <xf numFmtId="0" fontId="0" fillId="0" borderId="0" xfId="0" applyNumberFormat="1" applyFont="1" applyAlignment="1"/>
    <xf numFmtId="49" fontId="7" fillId="6" borderId="26" xfId="0" applyNumberFormat="1" applyFont="1" applyFill="1" applyBorder="1" applyAlignment="1">
      <alignment horizontal="center"/>
    </xf>
    <xf numFmtId="49" fontId="2" fillId="16" borderId="26" xfId="0" applyNumberFormat="1" applyFont="1" applyFill="1" applyBorder="1" applyAlignment="1">
      <alignment horizontal="center"/>
    </xf>
    <xf numFmtId="49" fontId="2" fillId="17" borderId="26" xfId="0" applyNumberFormat="1" applyFont="1" applyFill="1" applyBorder="1" applyAlignment="1"/>
    <xf numFmtId="49" fontId="2" fillId="14" borderId="26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/>
    <xf numFmtId="0" fontId="0" fillId="15" borderId="51" xfId="0" applyFont="1" applyFill="1" applyBorder="1" applyAlignment="1"/>
    <xf numFmtId="164" fontId="0" fillId="15" borderId="51" xfId="0" applyNumberFormat="1" applyFont="1" applyFill="1" applyBorder="1" applyAlignment="1"/>
    <xf numFmtId="0" fontId="0" fillId="2" borderId="53" xfId="0" applyFont="1" applyFill="1" applyBorder="1" applyAlignment="1"/>
    <xf numFmtId="0" fontId="0" fillId="2" borderId="46" xfId="0" applyFont="1" applyFill="1" applyBorder="1" applyAlignment="1"/>
    <xf numFmtId="164" fontId="0" fillId="2" borderId="53" xfId="0" applyNumberFormat="1" applyFont="1" applyFill="1" applyBorder="1" applyAlignment="1"/>
    <xf numFmtId="164" fontId="9" fillId="2" borderId="10" xfId="0" applyNumberFormat="1" applyFont="1" applyFill="1" applyBorder="1" applyAlignment="1">
      <alignment horizontal="center"/>
    </xf>
    <xf numFmtId="49" fontId="0" fillId="13" borderId="32" xfId="0" applyNumberFormat="1" applyFont="1" applyFill="1" applyBorder="1" applyAlignment="1">
      <alignment horizontal="right"/>
    </xf>
    <xf numFmtId="49" fontId="2" fillId="15" borderId="2" xfId="0" applyNumberFormat="1" applyFont="1" applyFill="1" applyBorder="1" applyAlignment="1"/>
    <xf numFmtId="0" fontId="0" fillId="15" borderId="56" xfId="0" applyFont="1" applyFill="1" applyBorder="1" applyAlignment="1"/>
    <xf numFmtId="0" fontId="0" fillId="2" borderId="50" xfId="0" applyFont="1" applyFill="1" applyBorder="1" applyAlignment="1"/>
    <xf numFmtId="49" fontId="8" fillId="2" borderId="27" xfId="0" applyNumberFormat="1" applyFont="1" applyFill="1" applyBorder="1" applyAlignment="1"/>
    <xf numFmtId="164" fontId="2" fillId="2" borderId="49" xfId="0" applyNumberFormat="1" applyFont="1" applyFill="1" applyBorder="1" applyAlignment="1"/>
    <xf numFmtId="164" fontId="9" fillId="2" borderId="50" xfId="0" applyNumberFormat="1" applyFont="1" applyFill="1" applyBorder="1" applyAlignment="1">
      <alignment horizontal="center"/>
    </xf>
    <xf numFmtId="49" fontId="0" fillId="13" borderId="32" xfId="0" applyNumberFormat="1" applyFont="1" applyFill="1" applyBorder="1" applyAlignment="1"/>
    <xf numFmtId="164" fontId="9" fillId="2" borderId="46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/>
    <xf numFmtId="3" fontId="0" fillId="2" borderId="17" xfId="0" applyNumberFormat="1" applyFont="1" applyFill="1" applyBorder="1" applyAlignment="1"/>
    <xf numFmtId="0" fontId="0" fillId="0" borderId="0" xfId="0" applyNumberFormat="1" applyFont="1" applyAlignment="1"/>
    <xf numFmtId="49" fontId="2" fillId="17" borderId="46" xfId="0" applyNumberFormat="1" applyFont="1" applyFill="1" applyBorder="1" applyAlignment="1"/>
    <xf numFmtId="0" fontId="9" fillId="2" borderId="18" xfId="0" applyFont="1" applyFill="1" applyBorder="1" applyAlignment="1">
      <alignment vertical="center"/>
    </xf>
    <xf numFmtId="0" fontId="25" fillId="2" borderId="18" xfId="0" applyFont="1" applyFill="1" applyBorder="1" applyAlignment="1"/>
    <xf numFmtId="164" fontId="9" fillId="2" borderId="13" xfId="0" applyNumberFormat="1" applyFont="1" applyFill="1" applyBorder="1" applyAlignment="1"/>
    <xf numFmtId="0" fontId="8" fillId="2" borderId="18" xfId="0" applyFont="1" applyFill="1" applyBorder="1" applyAlignment="1"/>
    <xf numFmtId="9" fontId="0" fillId="2" borderId="18" xfId="0" applyNumberFormat="1" applyFont="1" applyFill="1" applyBorder="1" applyAlignment="1"/>
    <xf numFmtId="164" fontId="9" fillId="2" borderId="21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/>
    <xf numFmtId="49" fontId="2" fillId="2" borderId="17" xfId="0" applyNumberFormat="1" applyFont="1" applyFill="1" applyBorder="1" applyAlignment="1"/>
    <xf numFmtId="0" fontId="9" fillId="2" borderId="1" xfId="0" applyFont="1" applyFill="1" applyBorder="1" applyAlignment="1"/>
    <xf numFmtId="164" fontId="9" fillId="2" borderId="1" xfId="0" applyNumberFormat="1" applyFont="1" applyFill="1" applyBorder="1" applyAlignment="1"/>
    <xf numFmtId="164" fontId="0" fillId="2" borderId="23" xfId="0" applyNumberFormat="1" applyFont="1" applyFill="1" applyBorder="1" applyAlignment="1"/>
    <xf numFmtId="164" fontId="9" fillId="2" borderId="9" xfId="0" applyNumberFormat="1" applyFont="1" applyFill="1" applyBorder="1" applyAlignment="1"/>
    <xf numFmtId="164" fontId="2" fillId="2" borderId="11" xfId="0" applyNumberFormat="1" applyFont="1" applyFill="1" applyBorder="1" applyAlignment="1"/>
    <xf numFmtId="167" fontId="8" fillId="2" borderId="4" xfId="0" applyNumberFormat="1" applyFont="1" applyFill="1" applyBorder="1" applyAlignment="1"/>
    <xf numFmtId="164" fontId="2" fillId="2" borderId="12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0" fontId="16" fillId="3" borderId="45" xfId="0" applyFont="1" applyFill="1" applyBorder="1" applyAlignment="1">
      <alignment horizontal="center"/>
    </xf>
    <xf numFmtId="0" fontId="0" fillId="2" borderId="35" xfId="0" applyFont="1" applyFill="1" applyBorder="1" applyAlignment="1"/>
    <xf numFmtId="0" fontId="0" fillId="2" borderId="15" xfId="0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8" fillId="9" borderId="24" xfId="0" applyNumberFormat="1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49" fontId="1" fillId="5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49" fontId="8" fillId="2" borderId="24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0" fontId="0" fillId="2" borderId="9" xfId="0" applyFont="1" applyFill="1" applyBorder="1" applyAlignment="1"/>
    <xf numFmtId="3" fontId="9" fillId="2" borderId="22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49" fontId="2" fillId="2" borderId="22" xfId="0" applyNumberFormat="1" applyFont="1" applyFill="1" applyBorder="1" applyAlignment="1"/>
    <xf numFmtId="49" fontId="14" fillId="3" borderId="45" xfId="0" applyNumberFormat="1" applyFont="1" applyFill="1" applyBorder="1" applyAlignment="1">
      <alignment horizontal="center"/>
    </xf>
    <xf numFmtId="0" fontId="0" fillId="2" borderId="16" xfId="0" applyFont="1" applyFill="1" applyBorder="1" applyAlignment="1"/>
    <xf numFmtId="0" fontId="0" fillId="2" borderId="17" xfId="0" applyFont="1" applyFill="1" applyBorder="1" applyAlignment="1"/>
    <xf numFmtId="3" fontId="9" fillId="2" borderId="11" xfId="0" applyNumberFormat="1" applyFont="1" applyFill="1" applyBorder="1" applyAlignment="1">
      <alignment horizontal="right"/>
    </xf>
    <xf numFmtId="0" fontId="0" fillId="2" borderId="12" xfId="0" applyFont="1" applyFill="1" applyBorder="1" applyAlignment="1"/>
    <xf numFmtId="3" fontId="9" fillId="2" borderId="4" xfId="0" applyNumberFormat="1" applyFont="1" applyFill="1" applyBorder="1" applyAlignment="1">
      <alignment horizontal="right"/>
    </xf>
    <xf numFmtId="49" fontId="16" fillId="3" borderId="52" xfId="0" applyNumberFormat="1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/>
    </xf>
    <xf numFmtId="0" fontId="0" fillId="2" borderId="35" xfId="0" applyFont="1" applyFill="1" applyBorder="1" applyAlignment="1"/>
    <xf numFmtId="0" fontId="0" fillId="2" borderId="1" xfId="0" applyFont="1" applyFill="1" applyBorder="1" applyAlignment="1"/>
    <xf numFmtId="0" fontId="9" fillId="2" borderId="26" xfId="0" applyFont="1" applyFill="1" applyBorder="1" applyAlignment="1">
      <alignment horizontal="left" wrapText="1"/>
    </xf>
    <xf numFmtId="0" fontId="24" fillId="2" borderId="26" xfId="0" applyFont="1" applyFill="1" applyBorder="1" applyAlignment="1">
      <alignment horizontal="left" wrapText="1"/>
    </xf>
    <xf numFmtId="0" fontId="9" fillId="2" borderId="18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left" vertical="top"/>
    </xf>
    <xf numFmtId="0" fontId="9" fillId="2" borderId="29" xfId="0" applyFont="1" applyFill="1" applyBorder="1" applyAlignment="1">
      <alignment horizontal="left" vertical="top"/>
    </xf>
    <xf numFmtId="0" fontId="9" fillId="2" borderId="30" xfId="0" applyFont="1" applyFill="1" applyBorder="1" applyAlignment="1">
      <alignment horizontal="left" vertical="top"/>
    </xf>
    <xf numFmtId="0" fontId="9" fillId="2" borderId="23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left"/>
    </xf>
    <xf numFmtId="49" fontId="16" fillId="3" borderId="19" xfId="0" applyNumberFormat="1" applyFont="1" applyFill="1" applyBorder="1" applyAlignment="1">
      <alignment horizontal="center"/>
    </xf>
    <xf numFmtId="49" fontId="1" fillId="3" borderId="59" xfId="0" applyNumberFormat="1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/>
    </xf>
    <xf numFmtId="49" fontId="0" fillId="2" borderId="58" xfId="0" applyNumberFormat="1" applyFont="1" applyFill="1" applyBorder="1" applyAlignment="1"/>
    <xf numFmtId="0" fontId="2" fillId="2" borderId="31" xfId="0" applyFont="1" applyFill="1" applyBorder="1" applyAlignment="1"/>
    <xf numFmtId="49" fontId="2" fillId="2" borderId="29" xfId="0" applyNumberFormat="1" applyFont="1" applyFill="1" applyBorder="1" applyAlignment="1"/>
    <xf numFmtId="49" fontId="9" fillId="2" borderId="31" xfId="0" applyNumberFormat="1" applyFont="1" applyFill="1" applyBorder="1" applyAlignment="1"/>
    <xf numFmtId="49" fontId="9" fillId="2" borderId="7" xfId="0" applyNumberFormat="1" applyFont="1" applyFill="1" applyBorder="1" applyAlignment="1"/>
    <xf numFmtId="49" fontId="1" fillId="5" borderId="2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49" fontId="2" fillId="2" borderId="6" xfId="0" applyNumberFormat="1" applyFont="1" applyFill="1" applyBorder="1" applyAlignment="1"/>
    <xf numFmtId="49" fontId="9" fillId="2" borderId="60" xfId="0" applyNumberFormat="1" applyFont="1" applyFill="1" applyBorder="1" applyAlignment="1"/>
    <xf numFmtId="49" fontId="9" fillId="2" borderId="19" xfId="0" applyNumberFormat="1" applyFont="1" applyFill="1" applyBorder="1" applyAlignment="1"/>
    <xf numFmtId="49" fontId="9" fillId="4" borderId="29" xfId="0" applyNumberFormat="1" applyFont="1" applyFill="1" applyBorder="1" applyAlignment="1"/>
    <xf numFmtId="49" fontId="9" fillId="2" borderId="29" xfId="0" applyNumberFormat="1" applyFont="1" applyFill="1" applyBorder="1" applyAlignment="1"/>
    <xf numFmtId="49" fontId="15" fillId="2" borderId="51" xfId="0" applyNumberFormat="1" applyFont="1" applyFill="1" applyBorder="1" applyAlignment="1"/>
    <xf numFmtId="49" fontId="15" fillId="2" borderId="46" xfId="0" applyNumberFormat="1" applyFont="1" applyFill="1" applyBorder="1" applyAlignment="1"/>
    <xf numFmtId="43" fontId="9" fillId="2" borderId="4" xfId="1" applyFont="1" applyFill="1" applyBorder="1" applyAlignment="1">
      <alignment horizontal="right"/>
    </xf>
    <xf numFmtId="43" fontId="9" fillId="2" borderId="8" xfId="1" applyFont="1" applyFill="1" applyBorder="1" applyAlignment="1">
      <alignment horizontal="right"/>
    </xf>
    <xf numFmtId="0" fontId="0" fillId="2" borderId="57" xfId="0" applyFont="1" applyFill="1" applyBorder="1" applyAlignment="1"/>
    <xf numFmtId="0" fontId="16" fillId="0" borderId="45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164" fontId="0" fillId="0" borderId="51" xfId="0" applyNumberFormat="1" applyFont="1" applyFill="1" applyBorder="1" applyAlignment="1"/>
    <xf numFmtId="164" fontId="9" fillId="0" borderId="50" xfId="0" applyNumberFormat="1" applyFont="1" applyFill="1" applyBorder="1" applyAlignment="1">
      <alignment horizontal="right"/>
    </xf>
    <xf numFmtId="164" fontId="9" fillId="0" borderId="53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4" fontId="9" fillId="0" borderId="21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/>
    <xf numFmtId="164" fontId="0" fillId="0" borderId="21" xfId="0" applyNumberFormat="1" applyFont="1" applyFill="1" applyBorder="1" applyAlignment="1"/>
    <xf numFmtId="164" fontId="2" fillId="0" borderId="26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/>
    <xf numFmtId="164" fontId="2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Alignment="1"/>
    <xf numFmtId="49" fontId="2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/>
    <xf numFmtId="164" fontId="9" fillId="0" borderId="10" xfId="0" applyNumberFormat="1" applyFont="1" applyFill="1" applyBorder="1" applyAlignment="1"/>
    <xf numFmtId="164" fontId="9" fillId="0" borderId="21" xfId="0" applyNumberFormat="1" applyFont="1" applyFill="1" applyBorder="1" applyAlignment="1"/>
    <xf numFmtId="164" fontId="2" fillId="0" borderId="13" xfId="0" applyNumberFormat="1" applyFont="1" applyFill="1" applyBorder="1" applyAlignment="1"/>
    <xf numFmtId="164" fontId="8" fillId="0" borderId="13" xfId="0" applyNumberFormat="1" applyFont="1" applyFill="1" applyBorder="1" applyAlignment="1"/>
    <xf numFmtId="164" fontId="9" fillId="0" borderId="18" xfId="0" applyNumberFormat="1" applyFont="1" applyFill="1" applyBorder="1" applyAlignment="1"/>
    <xf numFmtId="169" fontId="2" fillId="0" borderId="13" xfId="0" applyNumberFormat="1" applyFont="1" applyFill="1" applyBorder="1" applyAlignment="1"/>
    <xf numFmtId="164" fontId="9" fillId="0" borderId="22" xfId="0" applyNumberFormat="1" applyFont="1" applyFill="1" applyBorder="1" applyAlignment="1"/>
    <xf numFmtId="169" fontId="2" fillId="0" borderId="25" xfId="0" applyNumberFormat="1" applyFont="1" applyFill="1" applyBorder="1" applyAlignment="1"/>
    <xf numFmtId="0" fontId="0" fillId="0" borderId="26" xfId="0" applyFont="1" applyFill="1" applyBorder="1" applyAlignment="1"/>
    <xf numFmtId="164" fontId="8" fillId="0" borderId="10" xfId="0" applyNumberFormat="1" applyFont="1" applyFill="1" applyBorder="1" applyAlignment="1"/>
    <xf numFmtId="164" fontId="2" fillId="0" borderId="10" xfId="0" applyNumberFormat="1" applyFont="1" applyFill="1" applyBorder="1" applyAlignment="1"/>
    <xf numFmtId="169" fontId="2" fillId="0" borderId="10" xfId="0" applyNumberFormat="1" applyFont="1" applyFill="1" applyBorder="1" applyAlignment="1"/>
    <xf numFmtId="169" fontId="2" fillId="0" borderId="21" xfId="0" applyNumberFormat="1" applyFont="1" applyFill="1" applyBorder="1" applyAlignment="1"/>
    <xf numFmtId="0" fontId="0" fillId="0" borderId="4" xfId="0" applyFont="1" applyFill="1" applyBorder="1" applyAlignment="1"/>
    <xf numFmtId="164" fontId="0" fillId="0" borderId="17" xfId="0" applyNumberFormat="1" applyFont="1" applyFill="1" applyBorder="1" applyAlignment="1"/>
    <xf numFmtId="49" fontId="2" fillId="0" borderId="26" xfId="0" applyNumberFormat="1" applyFont="1" applyFill="1" applyBorder="1" applyAlignment="1">
      <alignment horizontal="center"/>
    </xf>
    <xf numFmtId="0" fontId="0" fillId="0" borderId="51" xfId="0" applyFont="1" applyFill="1" applyBorder="1" applyAlignment="1"/>
    <xf numFmtId="0" fontId="0" fillId="0" borderId="53" xfId="0" applyFont="1" applyFill="1" applyBorder="1" applyAlignment="1"/>
    <xf numFmtId="0" fontId="0" fillId="0" borderId="13" xfId="0" applyFont="1" applyFill="1" applyBorder="1" applyAlignment="1"/>
    <xf numFmtId="164" fontId="2" fillId="0" borderId="21" xfId="0" applyNumberFormat="1" applyFont="1" applyFill="1" applyBorder="1" applyAlignment="1"/>
    <xf numFmtId="0" fontId="0" fillId="0" borderId="17" xfId="0" applyFont="1" applyFill="1" applyBorder="1" applyAlignment="1"/>
    <xf numFmtId="164" fontId="9" fillId="0" borderId="18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/>
    <xf numFmtId="49" fontId="2" fillId="0" borderId="22" xfId="0" applyNumberFormat="1" applyFont="1" applyFill="1" applyBorder="1" applyAlignment="1"/>
    <xf numFmtId="0" fontId="0" fillId="0" borderId="9" xfId="0" applyFont="1" applyFill="1" applyBorder="1" applyAlignment="1"/>
    <xf numFmtId="3" fontId="0" fillId="0" borderId="47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/>
    <xf numFmtId="167" fontId="9" fillId="0" borderId="17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/>
    <xf numFmtId="49" fontId="9" fillId="0" borderId="17" xfId="0" applyNumberFormat="1" applyFont="1" applyFill="1" applyBorder="1" applyAlignment="1">
      <alignment horizontal="right"/>
    </xf>
    <xf numFmtId="167" fontId="9" fillId="0" borderId="8" xfId="0" applyNumberFormat="1" applyFont="1" applyFill="1" applyBorder="1" applyAlignment="1">
      <alignment horizontal="right"/>
    </xf>
    <xf numFmtId="167" fontId="9" fillId="0" borderId="9" xfId="0" applyNumberFormat="1" applyFont="1" applyFill="1" applyBorder="1" applyAlignment="1">
      <alignment horizontal="right"/>
    </xf>
    <xf numFmtId="164" fontId="9" fillId="0" borderId="26" xfId="0" applyNumberFormat="1" applyFont="1" applyFill="1" applyBorder="1" applyAlignment="1">
      <alignment horizontal="right"/>
    </xf>
    <xf numFmtId="0" fontId="9" fillId="0" borderId="26" xfId="0" applyFont="1" applyFill="1" applyBorder="1" applyAlignment="1"/>
    <xf numFmtId="167" fontId="9" fillId="0" borderId="29" xfId="0" applyNumberFormat="1" applyFont="1" applyFill="1" applyBorder="1" applyAlignment="1">
      <alignment horizontal="right"/>
    </xf>
    <xf numFmtId="0" fontId="0" fillId="0" borderId="24" xfId="0" applyFont="1" applyFill="1" applyBorder="1" applyAlignment="1"/>
    <xf numFmtId="0" fontId="9" fillId="0" borderId="24" xfId="0" applyFont="1" applyFill="1" applyBorder="1" applyAlignment="1"/>
    <xf numFmtId="167" fontId="9" fillId="0" borderId="13" xfId="0" applyNumberFormat="1" applyFont="1" applyFill="1" applyBorder="1" applyAlignment="1">
      <alignment horizontal="right"/>
    </xf>
    <xf numFmtId="167" fontId="9" fillId="0" borderId="21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67" fontId="15" fillId="0" borderId="2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49" fontId="2" fillId="0" borderId="24" xfId="0" applyNumberFormat="1" applyFont="1" applyFill="1" applyBorder="1" applyAlignment="1"/>
  </cellXfs>
  <cellStyles count="2">
    <cellStyle name="Comma" xfId="1" builtinId="3"/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B5394"/>
      <rgbColor rgb="FF92D050"/>
      <rgbColor rgb="FFFF0000"/>
      <rgbColor rgb="FF00B050"/>
      <rgbColor rgb="FF6AA84F"/>
      <rgbColor rgb="FFF3F3F3"/>
      <rgbColor rgb="FF666666"/>
      <rgbColor rgb="FF999999"/>
      <rgbColor rgb="FF93C47D"/>
      <rgbColor rgb="FFADCDEA"/>
      <rgbColor rgb="FFFCD5B4"/>
      <rgbColor rgb="FFC4D79B"/>
      <rgbColor rgb="FFFF9900"/>
      <rgbColor rgb="FFFFFF00"/>
      <rgbColor rgb="FFED7D31"/>
      <rgbColor rgb="FF38761D"/>
      <rgbColor rgb="FFCCCCCC"/>
      <rgbColor rgb="FFEFEFEF"/>
      <rgbColor rgb="FFB7B7B7"/>
      <rgbColor rgb="FFD9D9D9"/>
      <rgbColor rgb="FF8EAADB"/>
      <rgbColor rgb="FF002060"/>
      <rgbColor rgb="FFFFC000"/>
      <rgbColor rgb="FF5B9BD5"/>
      <rgbColor rgb="FF00B0F0"/>
      <rgbColor rgb="FF7030A0"/>
      <rgbColor rgb="FFFF00FF"/>
      <rgbColor rgb="FF00FFFF"/>
      <rgbColor rgb="FF00FF00"/>
      <rgbColor rgb="FF0000FF"/>
      <rgbColor rgb="FF385623"/>
      <rgbColor rgb="FFFFCC0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%20end/Monthly%20AMS%20Business%20Operations%20Report%20Package%20Fiscal%202018-19Apri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Sheet1"/>
      <sheetName val="Sheet2"/>
      <sheetName val="Sheet21"/>
      <sheetName val="Sheet22"/>
      <sheetName val="Sheet23"/>
      <sheetName val="Sheet11"/>
      <sheetName val="Sheet24"/>
      <sheetName val="Sheet25"/>
      <sheetName val="Sheet26"/>
      <sheetName val="Sheet27"/>
      <sheetName val="Sheet28"/>
      <sheetName val="Sheet29"/>
      <sheetName val="Sheet210"/>
      <sheetName val="Sheet211"/>
      <sheetName val="Sheet212"/>
      <sheetName val="Sheet213"/>
      <sheetName val="Sheet214"/>
      <sheetName val="Sheet215"/>
      <sheetName val="Sheet216"/>
      <sheetName val="Sheet217"/>
      <sheetName val="Sheet218"/>
      <sheetName val="Sheet219"/>
      <sheetName val="Sheet220"/>
      <sheetName val="Sheet221"/>
      <sheetName val="Sheet222"/>
      <sheetName val="Sheet223"/>
      <sheetName val="Sheet224"/>
      <sheetName val="Sheet225"/>
      <sheetName val="Sheet226"/>
    </sheetNames>
    <sheetDataSet>
      <sheetData sheetId="0"/>
      <sheetData sheetId="1"/>
      <sheetData sheetId="2"/>
      <sheetData sheetId="3">
        <row r="43">
          <cell r="N43">
            <v>992626.18</v>
          </cell>
        </row>
        <row r="65">
          <cell r="N65">
            <v>862249.05</v>
          </cell>
        </row>
        <row r="69">
          <cell r="N69">
            <v>372189.52999999799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99"/>
  <sheetViews>
    <sheetView showGridLines="0" topLeftCell="B1" workbookViewId="0">
      <selection activeCell="C37" sqref="C37"/>
    </sheetView>
  </sheetViews>
  <sheetFormatPr defaultColWidth="14.42578125" defaultRowHeight="15" customHeight="1"/>
  <cols>
    <col min="1" max="1" width="14.42578125" style="1" hidden="1" customWidth="1"/>
    <col min="2" max="2" width="33" style="1" customWidth="1"/>
    <col min="3" max="3" width="33" style="433" customWidth="1"/>
    <col min="4" max="4" width="33" style="1" customWidth="1"/>
    <col min="5" max="5" width="25.7109375" style="1" customWidth="1"/>
    <col min="6" max="6" width="21.42578125" style="1" customWidth="1"/>
    <col min="7" max="8" width="20.42578125" style="1" customWidth="1"/>
    <col min="9" max="9" width="16.42578125" style="1" customWidth="1"/>
    <col min="10" max="10" width="17.7109375" style="1" customWidth="1"/>
    <col min="11" max="11" width="17.7109375" style="514" customWidth="1"/>
    <col min="12" max="12" width="16.85546875" style="1" customWidth="1"/>
    <col min="13" max="13" width="15.7109375" style="1" customWidth="1"/>
    <col min="14" max="14" width="15.28515625" style="1" customWidth="1"/>
    <col min="15" max="15" width="15.42578125" style="1" customWidth="1"/>
    <col min="16" max="16" width="14.42578125" style="1" customWidth="1"/>
    <col min="17" max="17" width="30.85546875" style="1" customWidth="1"/>
    <col min="18" max="18" width="30.85546875" style="433" customWidth="1"/>
    <col min="19" max="19" width="25.85546875" style="1" customWidth="1"/>
    <col min="20" max="20" width="30.85546875" style="1" customWidth="1"/>
    <col min="21" max="21" width="21.42578125" style="1" customWidth="1"/>
    <col min="22" max="22" width="20.42578125" style="1" customWidth="1"/>
    <col min="23" max="23" width="20.28515625" style="1" customWidth="1"/>
    <col min="24" max="24" width="16.85546875" style="1" customWidth="1"/>
    <col min="25" max="258" width="14.42578125" style="1" customWidth="1"/>
  </cols>
  <sheetData>
    <row r="1" spans="1:29" ht="15.75" customHeight="1">
      <c r="A1" s="2"/>
      <c r="B1" s="441" t="s">
        <v>0</v>
      </c>
      <c r="C1" s="478"/>
      <c r="D1" s="442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4"/>
      <c r="R1" s="444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</row>
    <row r="2" spans="1:29" ht="15.75" customHeight="1">
      <c r="A2" s="2"/>
      <c r="B2" s="451" t="s">
        <v>1</v>
      </c>
      <c r="C2" s="479"/>
      <c r="D2" s="448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52"/>
      <c r="P2" s="7"/>
      <c r="Q2" s="447" t="s">
        <v>2</v>
      </c>
      <c r="R2" s="485"/>
      <c r="S2" s="448"/>
      <c r="T2" s="449"/>
      <c r="U2" s="449"/>
      <c r="V2" s="449"/>
      <c r="W2" s="449"/>
      <c r="X2" s="449"/>
      <c r="Y2" s="449"/>
      <c r="Z2" s="449"/>
      <c r="AA2" s="449"/>
      <c r="AB2" s="449"/>
      <c r="AC2" s="449"/>
    </row>
    <row r="3" spans="1:29" ht="15.75" customHeight="1">
      <c r="A3" s="2"/>
      <c r="B3" s="8" t="s">
        <v>3</v>
      </c>
      <c r="C3" s="480"/>
      <c r="D3" s="4"/>
      <c r="E3" s="4"/>
      <c r="F3" s="9"/>
      <c r="G3" s="9"/>
      <c r="H3" s="9"/>
      <c r="I3" s="9"/>
      <c r="J3" s="3"/>
      <c r="K3" s="530"/>
      <c r="L3" s="3"/>
      <c r="M3" s="9"/>
      <c r="N3" s="10"/>
      <c r="O3" s="11"/>
      <c r="P3" s="7"/>
      <c r="Q3" s="12"/>
      <c r="R3" s="434"/>
      <c r="S3" s="3"/>
      <c r="T3" s="3"/>
      <c r="U3" s="9"/>
      <c r="V3" s="9"/>
      <c r="W3" s="9"/>
      <c r="X3" s="9"/>
      <c r="Y3" s="3"/>
      <c r="Z3" s="9"/>
      <c r="AA3" s="3"/>
      <c r="AB3" s="9"/>
      <c r="AC3" s="9"/>
    </row>
    <row r="4" spans="1:29" ht="15.75" customHeight="1">
      <c r="A4" s="2"/>
      <c r="B4" s="13" t="s">
        <v>4</v>
      </c>
      <c r="C4" s="14">
        <f>C5-R6</f>
        <v>548789.20965294866</v>
      </c>
      <c r="D4" s="14">
        <f>D5-S6</f>
        <v>226483.95965294866</v>
      </c>
      <c r="E4" s="14">
        <f>E5-T6</f>
        <v>401709.45000000158</v>
      </c>
      <c r="F4" s="15">
        <f>F5-U6</f>
        <v>127361.71299999999</v>
      </c>
      <c r="G4" s="16">
        <f>G5-V6</f>
        <v>388462.29000000074</v>
      </c>
      <c r="H4" s="17">
        <f>H5-W6</f>
        <v>422570.00000000233</v>
      </c>
      <c r="I4" s="18"/>
      <c r="J4" s="19"/>
      <c r="K4" s="562">
        <f>K5-Z6</f>
        <v>-423694.14601258631</v>
      </c>
      <c r="L4" s="19"/>
      <c r="M4" s="17"/>
      <c r="N4" s="20"/>
      <c r="O4" s="21"/>
      <c r="P4" s="7"/>
      <c r="Q4" s="22"/>
      <c r="R4" s="436"/>
      <c r="S4" s="19"/>
      <c r="T4" s="19"/>
      <c r="U4" s="18"/>
      <c r="V4" s="18"/>
      <c r="W4" s="18"/>
      <c r="X4" s="18"/>
      <c r="Y4" s="19"/>
      <c r="Z4" s="18"/>
      <c r="AA4" s="19"/>
      <c r="AB4" s="18"/>
      <c r="AC4" s="18"/>
    </row>
    <row r="5" spans="1:29" ht="15.75" customHeight="1">
      <c r="A5" s="2"/>
      <c r="B5" s="23" t="s">
        <v>5</v>
      </c>
      <c r="C5" s="24">
        <f>C92</f>
        <v>3596912.382637579</v>
      </c>
      <c r="D5" s="24">
        <f>D92</f>
        <v>3085607.132637579</v>
      </c>
      <c r="E5" s="24">
        <f>E92</f>
        <v>3019251.1000000015</v>
      </c>
      <c r="F5" s="25">
        <f>F92</f>
        <v>2747883</v>
      </c>
      <c r="G5" s="26">
        <f>G92</f>
        <v>2433751.3000000007</v>
      </c>
      <c r="H5" s="27">
        <f>H92</f>
        <v>2712095.4000000022</v>
      </c>
      <c r="I5" s="28"/>
      <c r="J5" s="5"/>
      <c r="K5" s="563">
        <f>K92</f>
        <v>1648817.5255185254</v>
      </c>
      <c r="L5" s="5"/>
      <c r="M5" s="27"/>
      <c r="N5" s="29"/>
      <c r="O5" s="30"/>
      <c r="P5" s="7"/>
      <c r="Q5" s="31"/>
      <c r="R5" s="486"/>
      <c r="S5" s="32"/>
      <c r="T5" s="32"/>
      <c r="U5" s="33"/>
      <c r="V5" s="33"/>
      <c r="W5" s="33"/>
      <c r="X5" s="33"/>
      <c r="Y5" s="33"/>
      <c r="Z5" s="33"/>
      <c r="AA5" s="33"/>
      <c r="AB5" s="33"/>
      <c r="AC5" s="33"/>
    </row>
    <row r="6" spans="1:29" ht="15.75" customHeight="1">
      <c r="A6" s="2"/>
      <c r="B6" s="34"/>
      <c r="C6" s="481"/>
      <c r="D6" s="35"/>
      <c r="E6" s="35"/>
      <c r="F6" s="36"/>
      <c r="G6" s="37"/>
      <c r="H6" s="36"/>
      <c r="I6" s="38"/>
      <c r="J6" s="39"/>
      <c r="K6" s="556"/>
      <c r="L6" s="39"/>
      <c r="M6" s="36"/>
      <c r="N6" s="40"/>
      <c r="O6" s="41"/>
      <c r="P6" s="7"/>
      <c r="Q6" s="42" t="s">
        <v>6</v>
      </c>
      <c r="R6" s="43">
        <f t="shared" ref="R6:Z6" si="0">R48</f>
        <v>3048123.1729846303</v>
      </c>
      <c r="S6" s="43">
        <f t="shared" si="0"/>
        <v>2859123.1729846303</v>
      </c>
      <c r="T6" s="43">
        <f t="shared" si="0"/>
        <v>2617541.65</v>
      </c>
      <c r="U6" s="44">
        <f t="shared" si="0"/>
        <v>2620521.287</v>
      </c>
      <c r="V6" s="44">
        <f t="shared" si="0"/>
        <v>2045289.01</v>
      </c>
      <c r="W6" s="44">
        <f t="shared" si="0"/>
        <v>2289525.4</v>
      </c>
      <c r="X6" s="44">
        <f t="shared" si="0"/>
        <v>-241581.52298463043</v>
      </c>
      <c r="Y6" s="44">
        <f t="shared" si="0"/>
        <v>-9.2293287094259005E-2</v>
      </c>
      <c r="Z6" s="44">
        <f t="shared" si="0"/>
        <v>2072511.6715311117</v>
      </c>
      <c r="AA6" s="44"/>
      <c r="AB6" s="44">
        <f>AB48</f>
        <v>2006285.2</v>
      </c>
      <c r="AC6" s="44">
        <f>AC48</f>
        <v>1971938.75</v>
      </c>
    </row>
    <row r="7" spans="1:29" ht="15.75" customHeight="1">
      <c r="A7" s="45"/>
      <c r="B7" s="46" t="s">
        <v>7</v>
      </c>
      <c r="C7" s="482" t="s">
        <v>1170</v>
      </c>
      <c r="D7" s="47" t="s">
        <v>8</v>
      </c>
      <c r="E7" s="48" t="s">
        <v>9</v>
      </c>
      <c r="F7" s="49" t="s">
        <v>10</v>
      </c>
      <c r="G7" s="50" t="s">
        <v>11</v>
      </c>
      <c r="H7" s="51" t="s">
        <v>12</v>
      </c>
      <c r="I7" s="52" t="s">
        <v>13</v>
      </c>
      <c r="J7" s="52" t="s">
        <v>14</v>
      </c>
      <c r="K7" s="564" t="s">
        <v>15</v>
      </c>
      <c r="L7" s="52" t="s">
        <v>16</v>
      </c>
      <c r="M7" s="53" t="s">
        <v>17</v>
      </c>
      <c r="N7" s="54" t="s">
        <v>18</v>
      </c>
      <c r="O7" s="54" t="s">
        <v>19</v>
      </c>
      <c r="P7" s="7"/>
      <c r="Q7" s="46" t="s">
        <v>7</v>
      </c>
      <c r="R7" s="482" t="s">
        <v>1170</v>
      </c>
      <c r="S7" s="47" t="s">
        <v>1171</v>
      </c>
      <c r="T7" s="55" t="s">
        <v>20</v>
      </c>
      <c r="U7" s="52" t="s">
        <v>10</v>
      </c>
      <c r="V7" s="56" t="s">
        <v>11</v>
      </c>
      <c r="W7" s="51" t="s">
        <v>12</v>
      </c>
      <c r="X7" s="52" t="s">
        <v>13</v>
      </c>
      <c r="Y7" s="52" t="s">
        <v>14</v>
      </c>
      <c r="Z7" s="52" t="s">
        <v>15</v>
      </c>
      <c r="AA7" s="52" t="s">
        <v>16</v>
      </c>
      <c r="AB7" s="56" t="s">
        <v>17</v>
      </c>
      <c r="AC7" s="51" t="s">
        <v>21</v>
      </c>
    </row>
    <row r="8" spans="1:29" ht="15.75" customHeight="1">
      <c r="A8" s="57" t="s">
        <v>22</v>
      </c>
      <c r="B8" s="51" t="s">
        <v>23</v>
      </c>
      <c r="C8" s="55"/>
      <c r="D8" s="35"/>
      <c r="E8" s="35"/>
      <c r="F8" s="38"/>
      <c r="G8" s="38"/>
      <c r="H8" s="38"/>
      <c r="I8" s="450" t="s">
        <v>24</v>
      </c>
      <c r="J8" s="446"/>
      <c r="K8" s="39"/>
      <c r="L8" s="39"/>
      <c r="M8" s="38"/>
      <c r="N8" s="59"/>
      <c r="O8" s="60"/>
      <c r="P8" s="7"/>
      <c r="Q8" s="61" t="s">
        <v>25</v>
      </c>
      <c r="R8" s="483"/>
      <c r="S8" s="62"/>
      <c r="T8" s="62"/>
      <c r="U8" s="38"/>
      <c r="V8" s="38"/>
      <c r="W8" s="38"/>
      <c r="X8" s="445" t="s">
        <v>24</v>
      </c>
      <c r="Y8" s="446"/>
      <c r="Z8" s="58"/>
      <c r="AA8" s="39"/>
      <c r="AB8" s="38"/>
      <c r="AC8" s="38"/>
    </row>
    <row r="9" spans="1:29" ht="15.75" customHeight="1">
      <c r="A9" s="63">
        <v>0.70364000000000004</v>
      </c>
      <c r="B9" s="64" t="s">
        <v>26</v>
      </c>
      <c r="C9" s="65">
        <f>Revenues!D6</f>
        <v>2366618.7999999998</v>
      </c>
      <c r="D9" s="65">
        <f>Revenues!F6</f>
        <v>2155313.5499999998</v>
      </c>
      <c r="E9" s="65">
        <v>2057500</v>
      </c>
      <c r="F9" s="65">
        <v>2057500</v>
      </c>
      <c r="G9" s="65">
        <v>1979316</v>
      </c>
      <c r="H9" s="65">
        <v>1926680</v>
      </c>
      <c r="I9" s="65">
        <f t="shared" ref="I9:I32" si="1">-(E9-D9)</f>
        <v>97813.549999999814</v>
      </c>
      <c r="J9" s="66">
        <f t="shared" ref="J9:J32" si="2">I9/E9</f>
        <v>4.7539999999999909E-2</v>
      </c>
      <c r="K9" s="65">
        <f>VLOOKUP(B9,Revenues!$B$6:$J$35,7,FALSE)</f>
        <v>2057500</v>
      </c>
      <c r="L9" s="65">
        <v>2027585.42</v>
      </c>
      <c r="M9" s="65">
        <v>1926680</v>
      </c>
      <c r="N9" s="65">
        <v>1886213</v>
      </c>
      <c r="O9" s="68">
        <v>1776997.8</v>
      </c>
      <c r="P9" s="7"/>
      <c r="Q9" s="64" t="s">
        <v>27</v>
      </c>
      <c r="R9" s="69">
        <f>'Student Government'!D88</f>
        <v>56303.400000000009</v>
      </c>
      <c r="S9" s="69">
        <f>'Student Government'!E88</f>
        <v>56303.400000000009</v>
      </c>
      <c r="T9" s="69">
        <f>'Student Government'!F88</f>
        <v>45004</v>
      </c>
      <c r="U9" s="65">
        <f>'Student Government'!G45</f>
        <v>50004</v>
      </c>
      <c r="V9" s="65">
        <v>61524.800000000003</v>
      </c>
      <c r="W9" s="65">
        <v>72160</v>
      </c>
      <c r="X9" s="65">
        <f t="shared" ref="X9:X19" si="3">T9-S9</f>
        <v>-11299.400000000009</v>
      </c>
      <c r="Y9" s="66">
        <f t="shared" ref="Y9:Y20" si="4">(X9/T9)</f>
        <v>-0.25107545995911495</v>
      </c>
      <c r="Z9" s="65">
        <f>'Student Government'!K88</f>
        <v>44650.71</v>
      </c>
      <c r="AA9" s="65">
        <v>54747</v>
      </c>
      <c r="AB9" s="68">
        <v>84544</v>
      </c>
      <c r="AC9" s="70">
        <v>82745.3</v>
      </c>
    </row>
    <row r="10" spans="1:29" ht="15.75" customHeight="1">
      <c r="A10" s="71">
        <v>0.70364000000000004</v>
      </c>
      <c r="B10" s="72" t="s">
        <v>28</v>
      </c>
      <c r="C10" s="67">
        <f>Revenues!D7</f>
        <v>458370.6399999999</v>
      </c>
      <c r="D10" s="67">
        <f>Revenues!F7</f>
        <v>417444.68999999994</v>
      </c>
      <c r="E10" s="67">
        <v>398500</v>
      </c>
      <c r="F10" s="67">
        <v>398500</v>
      </c>
      <c r="G10" s="67">
        <v>383268</v>
      </c>
      <c r="H10" s="67">
        <v>372890</v>
      </c>
      <c r="I10" s="67">
        <f t="shared" si="1"/>
        <v>18944.689999999944</v>
      </c>
      <c r="J10" s="73">
        <f t="shared" si="2"/>
        <v>4.753999999999986E-2</v>
      </c>
      <c r="K10" s="67">
        <f>VLOOKUP(B10,Revenues!$B$6:$J$35,7,FALSE)</f>
        <v>398500</v>
      </c>
      <c r="L10" s="67">
        <v>393112.55</v>
      </c>
      <c r="M10" s="67">
        <v>372890</v>
      </c>
      <c r="N10" s="67">
        <v>362084</v>
      </c>
      <c r="O10" s="74">
        <v>343935.1</v>
      </c>
      <c r="P10" s="7"/>
      <c r="Q10" s="72" t="s">
        <v>29</v>
      </c>
      <c r="R10" s="75">
        <f>'Executive Committee'!D248</f>
        <v>22700</v>
      </c>
      <c r="S10" s="75">
        <f>'Executive Committee'!E248</f>
        <v>22700</v>
      </c>
      <c r="T10" s="75">
        <f>'Executive Committee'!F19</f>
        <v>27450</v>
      </c>
      <c r="U10" s="67">
        <f>'Executive Committee'!G19</f>
        <v>27450</v>
      </c>
      <c r="V10" s="67">
        <v>27450</v>
      </c>
      <c r="W10" s="67">
        <v>53274.2</v>
      </c>
      <c r="X10" s="67">
        <f t="shared" si="3"/>
        <v>4750</v>
      </c>
      <c r="Y10" s="73">
        <f t="shared" si="4"/>
        <v>0.17304189435336975</v>
      </c>
      <c r="Z10" s="67">
        <f>'Executive Committee'!K248</f>
        <v>21913.46</v>
      </c>
      <c r="AA10" s="67">
        <f>38836+896</f>
        <v>39732</v>
      </c>
      <c r="AB10" s="74">
        <f>20390+14364</f>
        <v>34754</v>
      </c>
      <c r="AC10" s="76">
        <v>66775.3</v>
      </c>
    </row>
    <row r="11" spans="1:29" ht="15.75" customHeight="1">
      <c r="A11" s="71">
        <v>0.70364000000000004</v>
      </c>
      <c r="B11" s="72" t="s">
        <v>30</v>
      </c>
      <c r="C11" s="67">
        <f>Revenues!D8</f>
        <v>672000</v>
      </c>
      <c r="D11" s="67">
        <f>Revenues!F8</f>
        <v>612000</v>
      </c>
      <c r="E11" s="67">
        <v>600000</v>
      </c>
      <c r="F11" s="67">
        <v>600000</v>
      </c>
      <c r="G11" s="67">
        <v>590400</v>
      </c>
      <c r="H11" s="67">
        <v>588000</v>
      </c>
      <c r="I11" s="67">
        <f t="shared" si="1"/>
        <v>12000</v>
      </c>
      <c r="J11" s="73">
        <f t="shared" si="2"/>
        <v>0.02</v>
      </c>
      <c r="K11" s="67">
        <f>VLOOKUP(B11,Revenues!$B$6:$J$35,7,FALSE)</f>
        <v>600000</v>
      </c>
      <c r="L11" s="67">
        <v>604596</v>
      </c>
      <c r="M11" s="67">
        <v>588000</v>
      </c>
      <c r="N11" s="67">
        <v>584018</v>
      </c>
      <c r="O11" s="74">
        <v>559244</v>
      </c>
      <c r="P11" s="7"/>
      <c r="Q11" s="72" t="s">
        <v>31</v>
      </c>
      <c r="R11" s="75">
        <f>'Executive Committee'!D249</f>
        <v>100519.32000000002</v>
      </c>
      <c r="S11" s="75">
        <f>'Executive Committee'!E249</f>
        <v>100519.32000000002</v>
      </c>
      <c r="T11" s="75">
        <f>'Executive Committee'!F249</f>
        <v>93301.027000000002</v>
      </c>
      <c r="U11" s="67">
        <v>98363.75</v>
      </c>
      <c r="V11" s="67">
        <v>98363.7</v>
      </c>
      <c r="W11" s="67">
        <v>63039.7</v>
      </c>
      <c r="X11" s="67">
        <f t="shared" si="3"/>
        <v>-7218.2930000000197</v>
      </c>
      <c r="Y11" s="73">
        <f t="shared" si="4"/>
        <v>-7.7365632856324501E-2</v>
      </c>
      <c r="Z11" s="67">
        <f>'Executive Committee'!K249</f>
        <v>83314.16</v>
      </c>
      <c r="AA11" s="67">
        <v>88533</v>
      </c>
      <c r="AB11" s="74">
        <v>83250</v>
      </c>
      <c r="AC11" s="76">
        <v>58131.4</v>
      </c>
    </row>
    <row r="12" spans="1:29" ht="15.75" customHeight="1">
      <c r="A12" s="71">
        <v>0.70364000000000004</v>
      </c>
      <c r="B12" s="72" t="s">
        <v>32</v>
      </c>
      <c r="C12" s="67">
        <f>Revenues!D9</f>
        <v>1176000</v>
      </c>
      <c r="D12" s="67">
        <f>Revenues!F9</f>
        <v>1071000</v>
      </c>
      <c r="E12" s="67">
        <v>1050000</v>
      </c>
      <c r="F12" s="67">
        <v>1050000</v>
      </c>
      <c r="G12" s="67">
        <v>1033200</v>
      </c>
      <c r="H12" s="67">
        <v>1029000</v>
      </c>
      <c r="I12" s="67">
        <f t="shared" si="1"/>
        <v>21000</v>
      </c>
      <c r="J12" s="73">
        <f t="shared" si="2"/>
        <v>0.02</v>
      </c>
      <c r="K12" s="67">
        <f>VLOOKUP(B12,Revenues!$B$6:$J$35,7,FALSE)</f>
        <v>1050000</v>
      </c>
      <c r="L12" s="67">
        <v>1060374</v>
      </c>
      <c r="M12" s="67">
        <v>1029000</v>
      </c>
      <c r="N12" s="67">
        <v>1022031</v>
      </c>
      <c r="O12" s="74">
        <v>978677</v>
      </c>
      <c r="P12" s="7"/>
      <c r="Q12" s="72" t="s">
        <v>33</v>
      </c>
      <c r="R12" s="75">
        <f>'Executive Committee'!D250</f>
        <v>131907.182</v>
      </c>
      <c r="S12" s="75">
        <f>'Executive Committee'!E250</f>
        <v>131907.182</v>
      </c>
      <c r="T12" s="75">
        <f>'Executive Committee'!F250</f>
        <v>136973.30600000001</v>
      </c>
      <c r="U12" s="67">
        <f>'Executive Committee'!G93</f>
        <v>137973.30600000001</v>
      </c>
      <c r="V12" s="67">
        <v>123956.5</v>
      </c>
      <c r="W12" s="67">
        <v>111733.2</v>
      </c>
      <c r="X12" s="67">
        <f t="shared" si="3"/>
        <v>5066.1240000000107</v>
      </c>
      <c r="Y12" s="73">
        <f t="shared" si="4"/>
        <v>3.6986213941569097E-2</v>
      </c>
      <c r="Z12" s="67">
        <f>'Executive Committee'!K250</f>
        <v>116777.71</v>
      </c>
      <c r="AA12" s="67">
        <v>112058</v>
      </c>
      <c r="AB12" s="74">
        <f>82610-122</f>
        <v>82488</v>
      </c>
      <c r="AC12" s="76">
        <v>101440.1</v>
      </c>
    </row>
    <row r="13" spans="1:29" ht="15.75" customHeight="1">
      <c r="A13" s="71">
        <v>0.70364000000000004</v>
      </c>
      <c r="B13" s="77" t="s">
        <v>34</v>
      </c>
      <c r="C13" s="78">
        <f>Revenues!D10</f>
        <v>62112.959999999999</v>
      </c>
      <c r="D13" s="78">
        <f>Revenues!F10</f>
        <v>56567.159999999996</v>
      </c>
      <c r="E13" s="67">
        <v>54000</v>
      </c>
      <c r="F13" s="67">
        <v>54000</v>
      </c>
      <c r="G13" s="67">
        <v>52644</v>
      </c>
      <c r="H13" s="67">
        <v>50960</v>
      </c>
      <c r="I13" s="67">
        <f t="shared" si="1"/>
        <v>2567.1599999999962</v>
      </c>
      <c r="J13" s="73">
        <f t="shared" si="2"/>
        <v>4.753999999999993E-2</v>
      </c>
      <c r="K13" s="67">
        <f>VLOOKUP(B13,Revenues!$B$6:$J$35,7,FALSE)</f>
        <v>54000</v>
      </c>
      <c r="L13" s="67">
        <v>53522.33</v>
      </c>
      <c r="M13" s="67">
        <v>50960</v>
      </c>
      <c r="N13" s="67">
        <v>50214</v>
      </c>
      <c r="O13" s="74">
        <v>47116.3</v>
      </c>
      <c r="P13" s="7"/>
      <c r="Q13" s="72" t="s">
        <v>35</v>
      </c>
      <c r="R13" s="75">
        <f>'Executive Committee'!D251</f>
        <v>225789.06000000003</v>
      </c>
      <c r="S13" s="75">
        <f>'Executive Committee'!E251</f>
        <v>225789.06000000003</v>
      </c>
      <c r="T13" s="75">
        <f>'Executive Committee'!F251</f>
        <v>211865.38899999997</v>
      </c>
      <c r="U13" s="67">
        <f>'Executive Committee'!G163</f>
        <v>211865.38899999997</v>
      </c>
      <c r="V13" s="67">
        <v>181806.6</v>
      </c>
      <c r="W13" s="67">
        <v>198369.1</v>
      </c>
      <c r="X13" s="67">
        <f t="shared" si="3"/>
        <v>-13923.67100000006</v>
      </c>
      <c r="Y13" s="73">
        <f t="shared" si="4"/>
        <v>-6.5719422439500311E-2</v>
      </c>
      <c r="Z13" s="67">
        <f>'Executive Committee'!K251</f>
        <v>211066.42</v>
      </c>
      <c r="AA13" s="67">
        <v>149978</v>
      </c>
      <c r="AB13" s="74">
        <v>144864</v>
      </c>
      <c r="AC13" s="76">
        <v>103524</v>
      </c>
    </row>
    <row r="14" spans="1:29" ht="15.75" customHeight="1">
      <c r="A14" s="71">
        <v>0.70364000000000004</v>
      </c>
      <c r="B14" s="79" t="s">
        <v>36</v>
      </c>
      <c r="C14" s="80">
        <f>Revenues!D11</f>
        <v>520800.00000000006</v>
      </c>
      <c r="D14" s="80">
        <f>Revenues!F11</f>
        <v>474300.00000000006</v>
      </c>
      <c r="E14" s="81">
        <v>181500</v>
      </c>
      <c r="F14" s="67">
        <v>181500</v>
      </c>
      <c r="G14" s="67">
        <v>174660</v>
      </c>
      <c r="H14" s="67">
        <v>170030</v>
      </c>
      <c r="I14" s="67">
        <f t="shared" si="1"/>
        <v>292800.00000000006</v>
      </c>
      <c r="J14" s="73">
        <f t="shared" si="2"/>
        <v>1.6132231404958681</v>
      </c>
      <c r="K14" s="67">
        <v>187966.0704823815</v>
      </c>
      <c r="L14" s="67">
        <v>179222.65</v>
      </c>
      <c r="M14" s="67">
        <v>170030</v>
      </c>
      <c r="N14" s="67">
        <v>166888</v>
      </c>
      <c r="O14" s="74">
        <v>156588.29999999999</v>
      </c>
      <c r="P14" s="7"/>
      <c r="Q14" s="72" t="s">
        <v>37</v>
      </c>
      <c r="R14" s="75">
        <f>'Executive Committee'!D252</f>
        <v>112852.23000000001</v>
      </c>
      <c r="S14" s="75">
        <f>'Executive Committee'!E252</f>
        <v>112852.23000000001</v>
      </c>
      <c r="T14" s="75">
        <f>'Executive Committee'!F252</f>
        <v>86408.927999999985</v>
      </c>
      <c r="U14" s="67">
        <f>'Executive Committee'!G216</f>
        <v>86408.927999999985</v>
      </c>
      <c r="V14" s="67">
        <v>99798.9</v>
      </c>
      <c r="W14" s="67">
        <v>90840</v>
      </c>
      <c r="X14" s="67">
        <f t="shared" si="3"/>
        <v>-26443.302000000025</v>
      </c>
      <c r="Y14" s="73">
        <f t="shared" si="4"/>
        <v>-0.30602511351604811</v>
      </c>
      <c r="Z14" s="67">
        <f>'Executive Committee'!K252</f>
        <v>92579.64</v>
      </c>
      <c r="AA14" s="67">
        <f>87014+57280</f>
        <v>144294</v>
      </c>
      <c r="AB14" s="74">
        <f>93807-3183</f>
        <v>90624</v>
      </c>
      <c r="AC14" s="76">
        <v>83669.399999999994</v>
      </c>
    </row>
    <row r="15" spans="1:29" ht="15.75" customHeight="1">
      <c r="A15" s="71">
        <v>0.70364000000000004</v>
      </c>
      <c r="B15" s="79" t="s">
        <v>38</v>
      </c>
      <c r="C15" s="80">
        <f>Revenues!D12</f>
        <v>5600000</v>
      </c>
      <c r="D15" s="80">
        <f>Revenues!F12</f>
        <v>5100000</v>
      </c>
      <c r="E15" s="81">
        <v>5000000</v>
      </c>
      <c r="F15" s="67">
        <v>5000000</v>
      </c>
      <c r="G15" s="67">
        <v>4920000</v>
      </c>
      <c r="H15" s="67">
        <v>4900000</v>
      </c>
      <c r="I15" s="67">
        <f t="shared" si="1"/>
        <v>100000</v>
      </c>
      <c r="J15" s="73">
        <f t="shared" si="2"/>
        <v>0.02</v>
      </c>
      <c r="K15" s="67">
        <v>5055221.72</v>
      </c>
      <c r="L15" s="67">
        <v>4969379.88</v>
      </c>
      <c r="M15" s="67">
        <v>4900000</v>
      </c>
      <c r="N15" s="67">
        <v>4378833</v>
      </c>
      <c r="O15" s="74">
        <v>3728293.3</v>
      </c>
      <c r="P15" s="7"/>
      <c r="Q15" s="72" t="s">
        <v>39</v>
      </c>
      <c r="R15" s="75">
        <f>'Executive Committee'!D253</f>
        <v>130721.511</v>
      </c>
      <c r="S15" s="75">
        <f>'Executive Committee'!E253</f>
        <v>130721.511</v>
      </c>
      <c r="T15" s="75">
        <f>'Executive Committee'!F253</f>
        <v>131231.10999999999</v>
      </c>
      <c r="U15" s="67">
        <f>'Executive Committee'!G246</f>
        <v>131731.10999999999</v>
      </c>
      <c r="V15" s="67">
        <v>116422.3</v>
      </c>
      <c r="W15" s="67">
        <v>87438.399999999994</v>
      </c>
      <c r="X15" s="67">
        <f t="shared" si="3"/>
        <v>509.59899999998743</v>
      </c>
      <c r="Y15" s="73">
        <f t="shared" si="4"/>
        <v>3.8832179351373885E-3</v>
      </c>
      <c r="Z15" s="67">
        <f>'Executive Committee'!K253</f>
        <v>120581.43000000001</v>
      </c>
      <c r="AA15" s="67">
        <v>107741</v>
      </c>
      <c r="AB15" s="74">
        <v>87196</v>
      </c>
      <c r="AC15" s="76">
        <v>72442.7</v>
      </c>
    </row>
    <row r="16" spans="1:29" ht="15.75" customHeight="1">
      <c r="A16" s="71">
        <v>0.70364000000000004</v>
      </c>
      <c r="B16" s="79" t="s">
        <v>40</v>
      </c>
      <c r="C16" s="80">
        <f>Revenues!D13</f>
        <v>314015.51999999996</v>
      </c>
      <c r="D16" s="80">
        <f>Revenues!F13</f>
        <v>285978.42</v>
      </c>
      <c r="E16" s="81">
        <v>273000</v>
      </c>
      <c r="F16" s="67">
        <v>273000</v>
      </c>
      <c r="G16" s="67">
        <v>262728</v>
      </c>
      <c r="H16" s="67">
        <v>255780</v>
      </c>
      <c r="I16" s="67">
        <f t="shared" si="1"/>
        <v>12978.419999999984</v>
      </c>
      <c r="J16" s="73">
        <f t="shared" si="2"/>
        <v>4.7539999999999943E-2</v>
      </c>
      <c r="K16" s="67">
        <f>VLOOKUP(B16,Revenues!$B$6:$J$35,7,FALSE)</f>
        <v>273000</v>
      </c>
      <c r="L16" s="67">
        <v>269641</v>
      </c>
      <c r="M16" s="67">
        <v>255780</v>
      </c>
      <c r="N16" s="67">
        <v>127021</v>
      </c>
      <c r="O16" s="74">
        <v>120610.3</v>
      </c>
      <c r="P16" s="7"/>
      <c r="Q16" s="72" t="s">
        <v>41</v>
      </c>
      <c r="R16" s="75">
        <f>'Student Government'!D89</f>
        <v>31091.696</v>
      </c>
      <c r="S16" s="75">
        <f>'Student Government'!E89</f>
        <v>31091.696</v>
      </c>
      <c r="T16" s="75">
        <f>'Student Government'!F89</f>
        <v>17461</v>
      </c>
      <c r="U16" s="82">
        <v>14800</v>
      </c>
      <c r="V16" s="83">
        <v>11166.6</v>
      </c>
      <c r="W16" s="67">
        <v>7884.5</v>
      </c>
      <c r="X16" s="67">
        <f t="shared" si="3"/>
        <v>-13630.696</v>
      </c>
      <c r="Y16" s="73">
        <f t="shared" si="4"/>
        <v>-0.78063661875035795</v>
      </c>
      <c r="Z16" s="67">
        <f>'Student Government'!J89</f>
        <v>10908.24</v>
      </c>
      <c r="AA16" s="82">
        <v>6304</v>
      </c>
      <c r="AB16" s="76">
        <v>11222</v>
      </c>
      <c r="AC16" s="76">
        <v>7435.1</v>
      </c>
    </row>
    <row r="17" spans="1:29" ht="15.75" customHeight="1">
      <c r="A17" s="71">
        <v>0.70364000000000004</v>
      </c>
      <c r="B17" s="79" t="s">
        <v>42</v>
      </c>
      <c r="C17" s="80">
        <f>Revenues!D14</f>
        <v>96620.159999999989</v>
      </c>
      <c r="D17" s="80">
        <f>Revenues!F14</f>
        <v>87993.359999999986</v>
      </c>
      <c r="E17" s="81">
        <v>84000</v>
      </c>
      <c r="F17" s="67">
        <v>84000</v>
      </c>
      <c r="G17" s="67">
        <v>80688</v>
      </c>
      <c r="H17" s="67">
        <v>78400</v>
      </c>
      <c r="I17" s="67">
        <f t="shared" si="1"/>
        <v>3993.359999999986</v>
      </c>
      <c r="J17" s="73">
        <f t="shared" si="2"/>
        <v>4.7539999999999832E-2</v>
      </c>
      <c r="K17" s="67">
        <f>VLOOKUP(B17,Revenues!$B$6:$J$35,7,FALSE)</f>
        <v>84000</v>
      </c>
      <c r="L17" s="67">
        <v>83376.75</v>
      </c>
      <c r="M17" s="67">
        <v>78400</v>
      </c>
      <c r="N17" s="67">
        <v>75921</v>
      </c>
      <c r="O17" s="74">
        <v>72375.5</v>
      </c>
      <c r="P17" s="7"/>
      <c r="Q17" s="72" t="s">
        <v>43</v>
      </c>
      <c r="R17" s="75">
        <f>'Ancillary Services'!D84</f>
        <v>88141</v>
      </c>
      <c r="S17" s="75">
        <f>'Ancillary Services'!E84</f>
        <v>88141</v>
      </c>
      <c r="T17" s="75">
        <f>'Ancillary Services'!F84</f>
        <v>82019</v>
      </c>
      <c r="U17" s="67">
        <f>'Ancillary Services'!G78</f>
        <v>82019</v>
      </c>
      <c r="V17" s="67">
        <v>81318</v>
      </c>
      <c r="W17" s="67">
        <v>81323.199999999997</v>
      </c>
      <c r="X17" s="67">
        <f t="shared" si="3"/>
        <v>-6122</v>
      </c>
      <c r="Y17" s="73">
        <f t="shared" si="4"/>
        <v>-7.4641241663516988E-2</v>
      </c>
      <c r="Z17" s="67"/>
      <c r="AA17" s="67">
        <v>81069</v>
      </c>
      <c r="AB17" s="74">
        <v>91325</v>
      </c>
      <c r="AC17" s="84" t="s">
        <v>44</v>
      </c>
    </row>
    <row r="18" spans="1:29" ht="15.75" customHeight="1">
      <c r="A18" s="71">
        <v>0.70364000000000004</v>
      </c>
      <c r="B18" s="79" t="s">
        <v>45</v>
      </c>
      <c r="C18" s="80">
        <f>Revenues!D15</f>
        <v>144930.23999999999</v>
      </c>
      <c r="D18" s="80">
        <f>Revenues!F15</f>
        <v>131990.04</v>
      </c>
      <c r="E18" s="81">
        <v>126000</v>
      </c>
      <c r="F18" s="67">
        <v>126000</v>
      </c>
      <c r="G18" s="67">
        <v>121032</v>
      </c>
      <c r="H18" s="67">
        <v>117600</v>
      </c>
      <c r="I18" s="67">
        <f t="shared" si="1"/>
        <v>5990.0400000000081</v>
      </c>
      <c r="J18" s="73">
        <f t="shared" si="2"/>
        <v>4.7540000000000061E-2</v>
      </c>
      <c r="K18" s="67">
        <v>130488.8423183475</v>
      </c>
      <c r="L18" s="67">
        <v>124198.29</v>
      </c>
      <c r="M18" s="67">
        <v>117600</v>
      </c>
      <c r="N18" s="67">
        <v>114368</v>
      </c>
      <c r="O18" s="74">
        <v>108539.9</v>
      </c>
      <c r="P18" s="7"/>
      <c r="Q18" s="72" t="s">
        <v>46</v>
      </c>
      <c r="R18" s="75">
        <f>'Student Government'!D90</f>
        <v>54523.129199999996</v>
      </c>
      <c r="S18" s="75">
        <f>'Student Government'!E90</f>
        <v>54523.129199999996</v>
      </c>
      <c r="T18" s="75">
        <f>'Student Government'!F90</f>
        <v>60643.06</v>
      </c>
      <c r="U18" s="67">
        <f>'Student Government'!G75+'Student Government'!G86</f>
        <v>50218.06</v>
      </c>
      <c r="V18" s="67">
        <v>50218.1</v>
      </c>
      <c r="W18" s="67">
        <v>39695</v>
      </c>
      <c r="X18" s="67">
        <f t="shared" si="3"/>
        <v>6119.9308000000019</v>
      </c>
      <c r="Y18" s="73">
        <f t="shared" si="4"/>
        <v>0.10091724922851851</v>
      </c>
      <c r="Z18" s="67">
        <f>'Student Government'!J90</f>
        <v>40240.090000000004</v>
      </c>
      <c r="AA18" s="67">
        <v>40417</v>
      </c>
      <c r="AB18" s="74">
        <v>30968</v>
      </c>
      <c r="AC18" s="76">
        <v>25532.6</v>
      </c>
    </row>
    <row r="19" spans="1:29" ht="15.75" customHeight="1">
      <c r="A19" s="71">
        <v>0.70364000000000004</v>
      </c>
      <c r="B19" s="79" t="s">
        <v>47</v>
      </c>
      <c r="C19" s="80">
        <f>Revenues!D16</f>
        <v>16103.359999999999</v>
      </c>
      <c r="D19" s="80">
        <f>Revenues!F16</f>
        <v>14665.56</v>
      </c>
      <c r="E19" s="81">
        <v>14000</v>
      </c>
      <c r="F19" s="67">
        <v>14000</v>
      </c>
      <c r="G19" s="67">
        <v>13284</v>
      </c>
      <c r="H19" s="67">
        <v>12838</v>
      </c>
      <c r="I19" s="67">
        <f t="shared" si="1"/>
        <v>665.55999999999949</v>
      </c>
      <c r="J19" s="73">
        <f t="shared" si="2"/>
        <v>4.7539999999999964E-2</v>
      </c>
      <c r="K19" s="67">
        <f>VLOOKUP(B19,Revenues!$B$6:$J$35,7,FALSE)</f>
        <v>14000.000000000002</v>
      </c>
      <c r="L19" s="67">
        <v>13629.71</v>
      </c>
      <c r="M19" s="67">
        <v>12838</v>
      </c>
      <c r="N19" s="67">
        <v>12654</v>
      </c>
      <c r="O19" s="74">
        <v>12070.3</v>
      </c>
      <c r="P19" s="7"/>
      <c r="Q19" s="85" t="s">
        <v>48</v>
      </c>
      <c r="R19" s="86">
        <f>'Ancillary Services'!D83</f>
        <v>84566.47</v>
      </c>
      <c r="S19" s="86">
        <f>'Ancillary Services'!E83</f>
        <v>84566.47</v>
      </c>
      <c r="T19" s="86">
        <f>'Ancillary Services'!F83</f>
        <v>71432</v>
      </c>
      <c r="U19" s="87">
        <f>'Ancillary Services'!G60</f>
        <v>82502</v>
      </c>
      <c r="V19" s="87">
        <v>79491</v>
      </c>
      <c r="W19" s="87">
        <v>77460</v>
      </c>
      <c r="X19" s="87">
        <f t="shared" si="3"/>
        <v>-13134.470000000001</v>
      </c>
      <c r="Y19" s="88">
        <f t="shared" si="4"/>
        <v>-0.18387375405980513</v>
      </c>
      <c r="Z19" s="87"/>
      <c r="AA19" s="87">
        <v>58953</v>
      </c>
      <c r="AB19" s="89">
        <v>66894</v>
      </c>
      <c r="AC19" s="90" t="s">
        <v>44</v>
      </c>
    </row>
    <row r="20" spans="1:29" ht="15.75" customHeight="1">
      <c r="A20" s="71">
        <v>0.70364000000000004</v>
      </c>
      <c r="B20" s="79" t="s">
        <v>49</v>
      </c>
      <c r="C20" s="80">
        <f>Revenues!D17</f>
        <v>61537.84</v>
      </c>
      <c r="D20" s="80">
        <f>Revenues!F17</f>
        <v>56043.39</v>
      </c>
      <c r="E20" s="81">
        <v>53500</v>
      </c>
      <c r="F20" s="67">
        <v>53500</v>
      </c>
      <c r="G20" s="67">
        <v>52152</v>
      </c>
      <c r="H20" s="67">
        <v>50470</v>
      </c>
      <c r="I20" s="67">
        <f t="shared" si="1"/>
        <v>2543.3899999999994</v>
      </c>
      <c r="J20" s="73">
        <f t="shared" si="2"/>
        <v>4.7539999999999992E-2</v>
      </c>
      <c r="K20" s="67">
        <f>VLOOKUP(B20,Revenues!$B$6:$J$35,7,FALSE)</f>
        <v>53500</v>
      </c>
      <c r="L20" s="67">
        <v>53498.34</v>
      </c>
      <c r="M20" s="67">
        <v>50470</v>
      </c>
      <c r="N20" s="67">
        <v>48677</v>
      </c>
      <c r="O20" s="74">
        <v>46603.7</v>
      </c>
      <c r="P20" s="7"/>
      <c r="Q20" s="91" t="s">
        <v>50</v>
      </c>
      <c r="R20" s="92">
        <f t="shared" ref="R20" si="5">SUM(R9:R19)</f>
        <v>1039114.9981999999</v>
      </c>
      <c r="S20" s="92">
        <f t="shared" ref="S20:X20" si="6">SUM(S9:S19)</f>
        <v>1039114.9981999999</v>
      </c>
      <c r="T20" s="92">
        <f t="shared" si="6"/>
        <v>963788.81999999983</v>
      </c>
      <c r="U20" s="93">
        <f t="shared" si="6"/>
        <v>973335.54299999983</v>
      </c>
      <c r="V20" s="93">
        <f t="shared" si="6"/>
        <v>931516.5</v>
      </c>
      <c r="W20" s="93">
        <f t="shared" si="6"/>
        <v>883217.29999999993</v>
      </c>
      <c r="X20" s="93">
        <f t="shared" si="6"/>
        <v>-75326.178200000111</v>
      </c>
      <c r="Y20" s="94">
        <f t="shared" si="4"/>
        <v>-7.8156310424933262E-2</v>
      </c>
      <c r="Z20" s="92">
        <f>SUM(Z9:Z19)</f>
        <v>742031.8600000001</v>
      </c>
      <c r="AA20" s="92">
        <f>SUM(AA9:AA19)</f>
        <v>883826</v>
      </c>
      <c r="AB20" s="92">
        <f>SUM(AB9:AB19)</f>
        <v>808129</v>
      </c>
      <c r="AC20" s="95">
        <f>SUM(AC9:AC19)</f>
        <v>601695.89999999991</v>
      </c>
    </row>
    <row r="21" spans="1:29" ht="15.75" customHeight="1">
      <c r="A21" s="71">
        <v>0.70364000000000004</v>
      </c>
      <c r="B21" s="79" t="s">
        <v>51</v>
      </c>
      <c r="C21" s="80">
        <f>Revenues!D18</f>
        <v>96620.159999999989</v>
      </c>
      <c r="D21" s="80">
        <f>Revenues!F18</f>
        <v>87993.359999999986</v>
      </c>
      <c r="E21" s="81">
        <v>84000</v>
      </c>
      <c r="F21" s="67">
        <v>84000</v>
      </c>
      <c r="G21" s="67">
        <v>80688</v>
      </c>
      <c r="H21" s="67">
        <v>78400</v>
      </c>
      <c r="I21" s="67">
        <f t="shared" si="1"/>
        <v>3993.359999999986</v>
      </c>
      <c r="J21" s="73">
        <f t="shared" si="2"/>
        <v>4.7539999999999832E-2</v>
      </c>
      <c r="K21" s="67">
        <f>VLOOKUP(B21,Revenues!$B$6:$J$35,7,FALSE)</f>
        <v>84000</v>
      </c>
      <c r="L21" s="67">
        <v>82799.13</v>
      </c>
      <c r="M21" s="67">
        <v>78400</v>
      </c>
      <c r="N21" s="67">
        <v>75921</v>
      </c>
      <c r="O21" s="74">
        <v>72375.5</v>
      </c>
      <c r="P21" s="7"/>
      <c r="Q21" s="96"/>
      <c r="R21" s="39"/>
      <c r="S21" s="39"/>
      <c r="T21" s="39"/>
      <c r="U21" s="38"/>
      <c r="V21" s="38"/>
      <c r="W21" s="38"/>
      <c r="X21" s="38"/>
      <c r="Y21" s="39"/>
      <c r="Z21" s="38"/>
      <c r="AA21" s="39"/>
      <c r="AB21" s="38"/>
      <c r="AC21" s="38"/>
    </row>
    <row r="22" spans="1:29" ht="15.75" customHeight="1">
      <c r="A22" s="71">
        <v>0.70364000000000004</v>
      </c>
      <c r="B22" s="79" t="s">
        <v>52</v>
      </c>
      <c r="C22" s="80">
        <f>Revenues!D19</f>
        <v>64399.999999999993</v>
      </c>
      <c r="D22" s="80">
        <f>Revenues!F19</f>
        <v>58649.999999999993</v>
      </c>
      <c r="E22" s="81">
        <v>56000</v>
      </c>
      <c r="F22" s="67">
        <v>56000</v>
      </c>
      <c r="G22" s="67">
        <v>53628</v>
      </c>
      <c r="H22" s="67">
        <v>52430</v>
      </c>
      <c r="I22" s="67">
        <f t="shared" si="1"/>
        <v>2649.9999999999927</v>
      </c>
      <c r="J22" s="73">
        <f t="shared" si="2"/>
        <v>4.7321428571428445E-2</v>
      </c>
      <c r="K22" s="67">
        <f>VLOOKUP(B22,Revenues!$B$6:$J$35,7,FALSE)</f>
        <v>56000.000000000007</v>
      </c>
      <c r="L22" s="67">
        <v>55040.13</v>
      </c>
      <c r="M22" s="67">
        <v>52430</v>
      </c>
      <c r="N22" s="67">
        <v>51691</v>
      </c>
      <c r="O22" s="74">
        <v>48234.8</v>
      </c>
      <c r="P22" s="7"/>
      <c r="Q22" s="61" t="s">
        <v>53</v>
      </c>
      <c r="R22" s="62"/>
      <c r="S22" s="62"/>
      <c r="T22" s="62"/>
      <c r="U22" s="38"/>
      <c r="V22" s="38"/>
      <c r="W22" s="38"/>
      <c r="X22" s="38"/>
      <c r="Y22" s="39"/>
      <c r="Z22" s="38"/>
      <c r="AA22" s="39"/>
      <c r="AB22" s="38"/>
      <c r="AC22" s="38"/>
    </row>
    <row r="23" spans="1:29" ht="15.75" customHeight="1">
      <c r="A23" s="71">
        <v>0.70364000000000004</v>
      </c>
      <c r="B23" s="79" t="s">
        <v>54</v>
      </c>
      <c r="C23" s="80">
        <f>Revenues!D20</f>
        <v>321492.07999999996</v>
      </c>
      <c r="D23" s="80">
        <f>Revenues!F20</f>
        <v>292787.43</v>
      </c>
      <c r="E23" s="81">
        <v>279500</v>
      </c>
      <c r="F23" s="67">
        <v>279500</v>
      </c>
      <c r="G23" s="67">
        <v>268632</v>
      </c>
      <c r="H23" s="67">
        <v>261660</v>
      </c>
      <c r="I23" s="67">
        <f t="shared" si="1"/>
        <v>13287.429999999993</v>
      </c>
      <c r="J23" s="73">
        <f t="shared" si="2"/>
        <v>4.7539999999999978E-2</v>
      </c>
      <c r="K23" s="67">
        <f>VLOOKUP(B23,Revenues!$B$6:$J$35,7,FALSE)</f>
        <v>279500</v>
      </c>
      <c r="L23" s="67">
        <v>277384.68</v>
      </c>
      <c r="M23" s="67">
        <v>261660</v>
      </c>
      <c r="N23" s="67">
        <v>254043</v>
      </c>
      <c r="O23" s="74">
        <v>241220.6</v>
      </c>
      <c r="P23" s="7"/>
      <c r="Q23" s="64" t="s">
        <v>55</v>
      </c>
      <c r="R23" s="69">
        <f>'Student Services'!D234</f>
        <v>116559.4</v>
      </c>
      <c r="S23" s="69">
        <f>'Student Services'!E234</f>
        <v>116559.4</v>
      </c>
      <c r="T23" s="69">
        <f>'Student Services'!F234</f>
        <v>121912.5</v>
      </c>
      <c r="U23" s="69">
        <f>'Student Services'!G234</f>
        <v>123912.5</v>
      </c>
      <c r="V23" s="65">
        <v>0</v>
      </c>
      <c r="W23" s="65">
        <v>108895</v>
      </c>
      <c r="X23" s="65"/>
      <c r="Y23" s="66">
        <f t="shared" ref="Y23:Y34" si="7">(X23/T23)</f>
        <v>0</v>
      </c>
      <c r="Z23" s="65">
        <f>'Student Services'!J234</f>
        <v>31912.909999999996</v>
      </c>
      <c r="AA23" s="68">
        <f>'Student Services'!L234</f>
        <v>69185.040000000008</v>
      </c>
      <c r="AB23" s="70">
        <f>'Student Services'!L219</f>
        <v>0</v>
      </c>
      <c r="AC23" s="70">
        <v>188704.4</v>
      </c>
    </row>
    <row r="24" spans="1:29" ht="15.75" customHeight="1">
      <c r="A24" s="71">
        <v>0.70364000000000004</v>
      </c>
      <c r="B24" s="79" t="s">
        <v>56</v>
      </c>
      <c r="C24" s="80">
        <f>Revenues!D21</f>
        <v>56000</v>
      </c>
      <c r="D24" s="80">
        <f>Revenues!F21</f>
        <v>51000</v>
      </c>
      <c r="E24" s="81">
        <v>50000</v>
      </c>
      <c r="F24" s="67">
        <v>50000</v>
      </c>
      <c r="G24" s="67">
        <v>49200</v>
      </c>
      <c r="H24" s="67">
        <v>49000</v>
      </c>
      <c r="I24" s="67">
        <f t="shared" si="1"/>
        <v>1000</v>
      </c>
      <c r="J24" s="73">
        <f t="shared" si="2"/>
        <v>0.02</v>
      </c>
      <c r="K24" s="67">
        <f>VLOOKUP(B24,Revenues!$B$6:$J$35,7,FALSE)</f>
        <v>50000</v>
      </c>
      <c r="L24" s="67">
        <v>51066</v>
      </c>
      <c r="M24" s="67">
        <v>49000</v>
      </c>
      <c r="N24" s="67">
        <v>49231</v>
      </c>
      <c r="O24" s="74">
        <v>46603.7</v>
      </c>
      <c r="P24" s="7"/>
      <c r="Q24" s="72" t="s">
        <v>57</v>
      </c>
      <c r="R24" s="75">
        <f>'Student Services'!D235</f>
        <v>415018</v>
      </c>
      <c r="S24" s="75">
        <f>'Student Services'!E235</f>
        <v>415018</v>
      </c>
      <c r="T24" s="75">
        <f>'Student Services'!F235</f>
        <v>282865</v>
      </c>
      <c r="U24" s="75">
        <f>'Student Services'!G235</f>
        <v>248780</v>
      </c>
      <c r="V24" s="67">
        <v>276984</v>
      </c>
      <c r="W24" s="67">
        <v>146130</v>
      </c>
      <c r="X24" s="67">
        <f t="shared" ref="X24:X34" si="8">T24-S24</f>
        <v>-132153</v>
      </c>
      <c r="Y24" s="73">
        <f t="shared" si="7"/>
        <v>-0.46719459812984993</v>
      </c>
      <c r="Z24" s="67">
        <f>'Student Services'!J235</f>
        <v>356067.42000000004</v>
      </c>
      <c r="AA24" s="74"/>
      <c r="AB24" s="76">
        <v>146130</v>
      </c>
      <c r="AC24" s="76">
        <v>158013</v>
      </c>
    </row>
    <row r="25" spans="1:29" ht="15.75" customHeight="1">
      <c r="A25" s="97">
        <v>0.70364000000000004</v>
      </c>
      <c r="B25" s="98" t="s">
        <v>58</v>
      </c>
      <c r="C25" s="80">
        <f>Revenues!D22</f>
        <v>126000</v>
      </c>
      <c r="D25" s="80">
        <f>Revenues!F22</f>
        <v>114750</v>
      </c>
      <c r="E25" s="81">
        <v>100000</v>
      </c>
      <c r="F25" s="67">
        <v>100000</v>
      </c>
      <c r="G25" s="67">
        <v>86100</v>
      </c>
      <c r="H25" s="67">
        <v>73500</v>
      </c>
      <c r="I25" s="67">
        <f t="shared" si="1"/>
        <v>14750</v>
      </c>
      <c r="J25" s="73">
        <f t="shared" si="2"/>
        <v>0.14749999999999999</v>
      </c>
      <c r="K25" s="67">
        <v>103562.5732685298</v>
      </c>
      <c r="L25" s="67">
        <v>88622</v>
      </c>
      <c r="M25" s="67">
        <v>73500</v>
      </c>
      <c r="N25" s="99" t="s">
        <v>44</v>
      </c>
      <c r="O25" s="100" t="s">
        <v>44</v>
      </c>
      <c r="P25" s="7"/>
      <c r="Q25" s="72" t="s">
        <v>59</v>
      </c>
      <c r="R25" s="75">
        <f>'Student Services'!D236</f>
        <v>62220.75</v>
      </c>
      <c r="S25" s="75">
        <f>'Student Services'!E236</f>
        <v>62220.75</v>
      </c>
      <c r="T25" s="75">
        <f>'Student Services'!F236</f>
        <v>100002.41</v>
      </c>
      <c r="U25" s="75">
        <f>'Student Services'!G236</f>
        <v>100002.41</v>
      </c>
      <c r="V25" s="74">
        <v>104274.31</v>
      </c>
      <c r="W25" s="83">
        <v>88648.03</v>
      </c>
      <c r="X25" s="67">
        <f t="shared" si="8"/>
        <v>37781.660000000003</v>
      </c>
      <c r="Y25" s="73">
        <f t="shared" si="7"/>
        <v>0.37780749483937437</v>
      </c>
      <c r="Z25" s="67">
        <f>'Student Services'!J236</f>
        <v>95665.449999999983</v>
      </c>
      <c r="AA25" s="74">
        <v>73731</v>
      </c>
      <c r="AB25" s="76">
        <v>70090.2</v>
      </c>
      <c r="AC25" s="76">
        <v>67381.3</v>
      </c>
    </row>
    <row r="26" spans="1:29" ht="15.75" customHeight="1">
      <c r="A26" s="71">
        <v>0.70364000000000004</v>
      </c>
      <c r="B26" s="79" t="s">
        <v>60</v>
      </c>
      <c r="C26" s="80">
        <f>Revenues!D23</f>
        <v>14387772.000000002</v>
      </c>
      <c r="D26" s="80">
        <f>Revenues!F23</f>
        <v>9155504.557500001</v>
      </c>
      <c r="E26" s="81">
        <v>8631439.75</v>
      </c>
      <c r="F26" s="67">
        <v>8631439.75</v>
      </c>
      <c r="G26" s="67">
        <v>7810540.2999999998</v>
      </c>
      <c r="H26" s="67">
        <v>7530692.5999999996</v>
      </c>
      <c r="I26" s="67">
        <f t="shared" si="1"/>
        <v>524064.80750000104</v>
      </c>
      <c r="J26" s="73">
        <f t="shared" si="2"/>
        <v>6.0715804394046897E-2</v>
      </c>
      <c r="K26" s="67">
        <f>VLOOKUP(B26,Revenues!$B$6:$J$35,7,FALSE)</f>
        <v>8631439.75</v>
      </c>
      <c r="L26" s="67">
        <v>9574689.9464999977</v>
      </c>
      <c r="M26" s="67">
        <v>7530692.5999999996</v>
      </c>
      <c r="N26" s="67">
        <v>7366650</v>
      </c>
      <c r="O26" s="74">
        <v>7270638</v>
      </c>
      <c r="P26" s="7"/>
      <c r="Q26" s="72" t="s">
        <v>61</v>
      </c>
      <c r="R26" s="75">
        <f>'Student Services'!D237</f>
        <v>34730.569000000003</v>
      </c>
      <c r="S26" s="75">
        <f>'Student Services'!E237</f>
        <v>34730.569000000003</v>
      </c>
      <c r="T26" s="75">
        <f>'Student Services'!F237</f>
        <v>19611.32</v>
      </c>
      <c r="U26" s="75">
        <f>'Student Services'!G237</f>
        <v>19611.32</v>
      </c>
      <c r="V26" s="67">
        <v>16332.7</v>
      </c>
      <c r="W26" s="67">
        <v>13795.8</v>
      </c>
      <c r="X26" s="67">
        <f t="shared" si="8"/>
        <v>-15119.249000000003</v>
      </c>
      <c r="Y26" s="73">
        <f t="shared" si="7"/>
        <v>-0.7709449950334808</v>
      </c>
      <c r="Z26" s="67">
        <f>'Student Services'!J237</f>
        <v>19726.990000000002</v>
      </c>
      <c r="AA26" s="74">
        <v>15106</v>
      </c>
      <c r="AB26" s="76">
        <v>13795.8</v>
      </c>
      <c r="AC26" s="76">
        <v>13240.3</v>
      </c>
    </row>
    <row r="27" spans="1:29" ht="15.75" customHeight="1">
      <c r="A27" s="71">
        <v>0.70364000000000004</v>
      </c>
      <c r="B27" s="79" t="s">
        <v>62</v>
      </c>
      <c r="C27" s="80">
        <f>Revenues!D24</f>
        <v>168000</v>
      </c>
      <c r="D27" s="80">
        <f>Revenues!F24</f>
        <v>21857.142857142855</v>
      </c>
      <c r="E27" s="81">
        <v>51000</v>
      </c>
      <c r="F27" s="67">
        <v>51000</v>
      </c>
      <c r="G27" s="67">
        <v>51000</v>
      </c>
      <c r="H27" s="67">
        <v>0</v>
      </c>
      <c r="I27" s="67">
        <f t="shared" si="1"/>
        <v>-29142.857142857145</v>
      </c>
      <c r="J27" s="73">
        <f t="shared" si="2"/>
        <v>-0.57142857142857151</v>
      </c>
      <c r="K27" s="67">
        <f>VLOOKUP(B27,Revenues!$B$6:$J$35,7,FALSE)</f>
        <v>51000</v>
      </c>
      <c r="L27" s="67">
        <v>51621.696000000004</v>
      </c>
      <c r="M27" s="67">
        <v>0</v>
      </c>
      <c r="N27" s="67">
        <v>0</v>
      </c>
      <c r="O27" s="82"/>
      <c r="P27" s="7"/>
      <c r="Q27" s="72" t="s">
        <v>63</v>
      </c>
      <c r="R27" s="75">
        <f>'Student Services'!D238</f>
        <v>1260.6247500000027</v>
      </c>
      <c r="S27" s="75">
        <f>'Student Services'!E238</f>
        <v>1260.6247500000027</v>
      </c>
      <c r="T27" s="75">
        <f>'Student Services'!F238</f>
        <v>28502.639999999999</v>
      </c>
      <c r="U27" s="75">
        <f>'Student Services'!G238</f>
        <v>28502.639999999999</v>
      </c>
      <c r="V27" s="67">
        <v>16988.7</v>
      </c>
      <c r="W27" s="67">
        <v>17408.099999999999</v>
      </c>
      <c r="X27" s="67">
        <f t="shared" si="8"/>
        <v>27242.015249999997</v>
      </c>
      <c r="Y27" s="73">
        <f t="shared" si="7"/>
        <v>0.95577164957351313</v>
      </c>
      <c r="Z27" s="67">
        <f>'Student Services'!J238</f>
        <v>14144.419999999998</v>
      </c>
      <c r="AA27" s="74">
        <v>13756</v>
      </c>
      <c r="AB27" s="76">
        <v>17408.099999999999</v>
      </c>
      <c r="AC27" s="76">
        <v>17614.3</v>
      </c>
    </row>
    <row r="28" spans="1:29" ht="15.75" customHeight="1">
      <c r="A28" s="71">
        <v>0.70364000000000004</v>
      </c>
      <c r="B28" s="101" t="s">
        <v>64</v>
      </c>
      <c r="C28" s="102">
        <f>Revenues!D25</f>
        <v>2670200</v>
      </c>
      <c r="D28" s="102">
        <f>Revenues!F25</f>
        <v>2670200</v>
      </c>
      <c r="E28" s="67">
        <v>2600000</v>
      </c>
      <c r="F28" s="67">
        <v>2600000</v>
      </c>
      <c r="G28" s="67">
        <v>2500000</v>
      </c>
      <c r="H28" s="67">
        <v>2400000</v>
      </c>
      <c r="I28" s="67">
        <f t="shared" si="1"/>
        <v>70200</v>
      </c>
      <c r="J28" s="73">
        <f t="shared" si="2"/>
        <v>2.7E-2</v>
      </c>
      <c r="K28" s="78">
        <v>2547681.16</v>
      </c>
      <c r="L28" s="78">
        <v>2357393.8492800002</v>
      </c>
      <c r="M28" s="78">
        <v>2400000</v>
      </c>
      <c r="N28" s="78">
        <v>2352401</v>
      </c>
      <c r="O28" s="103">
        <v>1932000</v>
      </c>
      <c r="P28" s="7"/>
      <c r="Q28" s="72" t="s">
        <v>65</v>
      </c>
      <c r="R28" s="75">
        <v>0</v>
      </c>
      <c r="S28" s="75">
        <v>0</v>
      </c>
      <c r="T28" s="75">
        <v>0</v>
      </c>
      <c r="U28" s="75">
        <v>0</v>
      </c>
      <c r="V28" s="67">
        <v>0</v>
      </c>
      <c r="W28" s="67">
        <v>25766.799999999999</v>
      </c>
      <c r="X28" s="67">
        <f t="shared" si="8"/>
        <v>0</v>
      </c>
      <c r="Y28" s="104" t="e">
        <f t="shared" si="7"/>
        <v>#DIV/0!</v>
      </c>
      <c r="Z28" s="67"/>
      <c r="AA28" s="74"/>
      <c r="AB28" s="76">
        <v>25766.799999999999</v>
      </c>
      <c r="AC28" s="76">
        <v>20342.2</v>
      </c>
    </row>
    <row r="29" spans="1:29" ht="15.75" customHeight="1">
      <c r="A29" s="19"/>
      <c r="B29" s="99" t="s">
        <v>66</v>
      </c>
      <c r="C29" s="67">
        <f>Revenues!D26</f>
        <v>19600</v>
      </c>
      <c r="D29" s="67">
        <f>Revenues!F26</f>
        <v>17850</v>
      </c>
      <c r="E29" s="67"/>
      <c r="F29" s="67"/>
      <c r="G29" s="67"/>
      <c r="H29" s="67"/>
      <c r="I29" s="67">
        <f t="shared" si="1"/>
        <v>17850</v>
      </c>
      <c r="J29" s="104" t="e">
        <f t="shared" si="2"/>
        <v>#DIV/0!</v>
      </c>
      <c r="K29" s="105">
        <f>Revenues!J26</f>
        <v>17683.75</v>
      </c>
      <c r="L29" s="105"/>
      <c r="M29" s="80"/>
      <c r="N29" s="80"/>
      <c r="O29" s="106"/>
      <c r="P29" s="7"/>
      <c r="Q29" s="72" t="s">
        <v>67</v>
      </c>
      <c r="R29" s="75">
        <f>'Student Services'!D239</f>
        <v>126535.56899999999</v>
      </c>
      <c r="S29" s="75">
        <f>'Student Services'!E239</f>
        <v>126535.56899999999</v>
      </c>
      <c r="T29" s="75">
        <f>'Student Services'!F239</f>
        <v>106386.32</v>
      </c>
      <c r="U29" s="75">
        <f>'Student Services'!G239</f>
        <v>106386.32</v>
      </c>
      <c r="V29" s="67">
        <v>138719.5</v>
      </c>
      <c r="W29" s="67">
        <v>131904.20000000001</v>
      </c>
      <c r="X29" s="67">
        <f t="shared" si="8"/>
        <v>-20149.248999999982</v>
      </c>
      <c r="Y29" s="73">
        <f t="shared" si="7"/>
        <v>-0.18939699201927448</v>
      </c>
      <c r="Z29" s="67">
        <f>'Student Services'!J239</f>
        <v>117970.51999999999</v>
      </c>
      <c r="AA29" s="74">
        <v>111419</v>
      </c>
      <c r="AB29" s="76">
        <v>131904.20000000001</v>
      </c>
      <c r="AC29" s="76">
        <v>140915.79999999999</v>
      </c>
    </row>
    <row r="30" spans="1:29" ht="15.75" customHeight="1">
      <c r="A30" s="19"/>
      <c r="B30" s="99" t="s">
        <v>68</v>
      </c>
      <c r="C30" s="67">
        <f>Revenues!D27</f>
        <v>53200</v>
      </c>
      <c r="D30" s="67">
        <f>Revenues!F27</f>
        <v>48450</v>
      </c>
      <c r="E30" s="67"/>
      <c r="F30" s="67"/>
      <c r="G30" s="67"/>
      <c r="H30" s="67"/>
      <c r="I30" s="67">
        <f t="shared" si="1"/>
        <v>48450</v>
      </c>
      <c r="J30" s="104" t="e">
        <f t="shared" si="2"/>
        <v>#DIV/0!</v>
      </c>
      <c r="K30" s="105">
        <f>VLOOKUP(B30,Revenues!$B$6:$J$35,7,FALSE)</f>
        <v>0</v>
      </c>
      <c r="L30" s="105"/>
      <c r="M30" s="80"/>
      <c r="N30" s="80"/>
      <c r="O30" s="106"/>
      <c r="P30" s="7"/>
      <c r="Q30" s="72" t="s">
        <v>69</v>
      </c>
      <c r="R30" s="75">
        <f>'Student Services'!D242</f>
        <v>22438.069</v>
      </c>
      <c r="S30" s="75">
        <f>'Student Services'!E242</f>
        <v>22438.069</v>
      </c>
      <c r="T30" s="75">
        <f>'Student Services'!F242</f>
        <v>24486.32</v>
      </c>
      <c r="U30" s="75">
        <f>'Student Services'!G242</f>
        <v>24486.32</v>
      </c>
      <c r="V30" s="67">
        <v>18740.400000000001</v>
      </c>
      <c r="W30" s="67">
        <v>16158.8</v>
      </c>
      <c r="X30" s="67">
        <f t="shared" si="8"/>
        <v>2048.2510000000002</v>
      </c>
      <c r="Y30" s="73">
        <f t="shared" si="7"/>
        <v>8.3648788384698081E-2</v>
      </c>
      <c r="Z30" s="67">
        <f>'Student Services'!J242</f>
        <v>21216.26</v>
      </c>
      <c r="AA30" s="74">
        <f>15698+29</f>
        <v>15727</v>
      </c>
      <c r="AB30" s="76">
        <v>16158.8</v>
      </c>
      <c r="AC30" s="76">
        <v>1169.0999999999999</v>
      </c>
    </row>
    <row r="31" spans="1:29" ht="15.75" customHeight="1">
      <c r="A31" s="19"/>
      <c r="B31" s="107" t="s">
        <v>70</v>
      </c>
      <c r="C31" s="87">
        <f>Revenues!D28</f>
        <v>53200</v>
      </c>
      <c r="D31" s="87">
        <f>Revenues!F28</f>
        <v>48450</v>
      </c>
      <c r="E31" s="87"/>
      <c r="F31" s="87"/>
      <c r="G31" s="87"/>
      <c r="H31" s="87"/>
      <c r="I31" s="87">
        <f t="shared" si="1"/>
        <v>48450</v>
      </c>
      <c r="J31" s="108" t="e">
        <f t="shared" si="2"/>
        <v>#DIV/0!</v>
      </c>
      <c r="K31" s="109">
        <f>VLOOKUP(B31,Revenues!$B$6:$J$35,7,FALSE)</f>
        <v>0</v>
      </c>
      <c r="L31" s="109"/>
      <c r="M31" s="110"/>
      <c r="N31" s="110"/>
      <c r="O31" s="111"/>
      <c r="P31" s="7"/>
      <c r="Q31" s="72" t="s">
        <v>71</v>
      </c>
      <c r="R31" s="75">
        <f>'Student Services'!D243</f>
        <v>18038.069</v>
      </c>
      <c r="S31" s="75">
        <f>'Student Services'!E243</f>
        <v>18038.069</v>
      </c>
      <c r="T31" s="75">
        <f>'Student Services'!F243</f>
        <v>21711.32</v>
      </c>
      <c r="U31" s="75">
        <f>'Student Services'!G243</f>
        <v>21711.32</v>
      </c>
      <c r="V31" s="67">
        <v>18682.7</v>
      </c>
      <c r="W31" s="67">
        <v>13355.1</v>
      </c>
      <c r="X31" s="67">
        <f t="shared" si="8"/>
        <v>3673.2510000000002</v>
      </c>
      <c r="Y31" s="73">
        <f t="shared" si="7"/>
        <v>0.16918598224336431</v>
      </c>
      <c r="Z31" s="67">
        <f>'Student Services'!J243</f>
        <v>31912.909999999996</v>
      </c>
      <c r="AA31" s="74">
        <f>19099-14</f>
        <v>19085</v>
      </c>
      <c r="AB31" s="76">
        <v>69185</v>
      </c>
      <c r="AC31" s="84" t="s">
        <v>44</v>
      </c>
    </row>
    <row r="32" spans="1:29" ht="15.75" customHeight="1">
      <c r="A32" s="2"/>
      <c r="B32" s="112" t="s">
        <v>72</v>
      </c>
      <c r="C32" s="113">
        <f>SUM(C9:C31)</f>
        <v>29505593.759999998</v>
      </c>
      <c r="D32" s="113">
        <f>SUM(D9:D31)</f>
        <v>23030788.66035714</v>
      </c>
      <c r="E32" s="113">
        <f>SUM(E9:E28)</f>
        <v>21743939.75</v>
      </c>
      <c r="F32" s="114">
        <f>SUM(F9:F28)</f>
        <v>21743939.75</v>
      </c>
      <c r="G32" s="114">
        <f>SUM(G9:G28)</f>
        <v>20563160.300000001</v>
      </c>
      <c r="H32" s="115">
        <v>19998330.600000001</v>
      </c>
      <c r="I32" s="116">
        <f t="shared" si="1"/>
        <v>1286848.91035714</v>
      </c>
      <c r="J32" s="117">
        <f t="shared" si="2"/>
        <v>5.918195714082311E-2</v>
      </c>
      <c r="K32" s="118">
        <f>SUM(K9:K28)</f>
        <v>21761360.116069257</v>
      </c>
      <c r="L32" s="118">
        <f>SUM(L9:L28)</f>
        <v>22370754.351779997</v>
      </c>
      <c r="M32" s="116">
        <v>19998330.600000001</v>
      </c>
      <c r="N32" s="119">
        <v>18978859</v>
      </c>
      <c r="O32" s="114">
        <v>17562124.100000001</v>
      </c>
      <c r="P32" s="22"/>
      <c r="Q32" s="99" t="s">
        <v>73</v>
      </c>
      <c r="R32" s="75">
        <f>'Student Services'!D240</f>
        <v>43660.624750000003</v>
      </c>
      <c r="S32" s="75">
        <f>'Student Services'!E240</f>
        <v>43660.624750000003</v>
      </c>
      <c r="T32" s="75">
        <f>'Student Services'!F240</f>
        <v>43405.43</v>
      </c>
      <c r="U32" s="75">
        <f>'Student Services'!G240</f>
        <v>43405.43</v>
      </c>
      <c r="V32" s="67">
        <v>45870.2</v>
      </c>
      <c r="W32" s="67">
        <v>41870.800000000003</v>
      </c>
      <c r="X32" s="67">
        <f t="shared" si="8"/>
        <v>-255.19475000000239</v>
      </c>
      <c r="Y32" s="73">
        <f t="shared" si="7"/>
        <v>-5.8793277707421022E-3</v>
      </c>
      <c r="Z32" s="67">
        <f>'Student Services'!J240</f>
        <v>45940.619999999995</v>
      </c>
      <c r="AA32" s="74">
        <v>45920</v>
      </c>
      <c r="AB32" s="76">
        <v>41870.800000000003</v>
      </c>
      <c r="AC32" s="76">
        <v>45102</v>
      </c>
    </row>
    <row r="33" spans="1:29" ht="15.75" customHeight="1">
      <c r="A33" s="2"/>
      <c r="B33" s="96"/>
      <c r="C33" s="208"/>
      <c r="D33" s="39"/>
      <c r="E33" s="39"/>
      <c r="F33" s="38"/>
      <c r="G33" s="38"/>
      <c r="H33" s="38"/>
      <c r="I33" s="38"/>
      <c r="J33" s="39"/>
      <c r="K33" s="39"/>
      <c r="L33" s="39"/>
      <c r="M33" s="38"/>
      <c r="N33" s="59"/>
      <c r="O33" s="60"/>
      <c r="P33" s="7"/>
      <c r="Q33" s="85" t="s">
        <v>74</v>
      </c>
      <c r="R33" s="86">
        <f>'Student Services'!D241</f>
        <v>40490.5</v>
      </c>
      <c r="S33" s="86">
        <f>'Student Services'!E241</f>
        <v>40490.5</v>
      </c>
      <c r="T33" s="86">
        <f>'Student Services'!F241</f>
        <v>103001.90399999999</v>
      </c>
      <c r="U33" s="86">
        <f>'Student Services'!G241</f>
        <v>103001.90399999999</v>
      </c>
      <c r="V33" s="87">
        <v>35802.699999999997</v>
      </c>
      <c r="W33" s="87">
        <v>29749.4</v>
      </c>
      <c r="X33" s="87">
        <f t="shared" si="8"/>
        <v>62511.403999999995</v>
      </c>
      <c r="Y33" s="88">
        <f t="shared" si="7"/>
        <v>0.60689561622084187</v>
      </c>
      <c r="Z33" s="87">
        <f>'Student Services'!J241</f>
        <v>59650.249999999993</v>
      </c>
      <c r="AA33" s="89">
        <v>29906</v>
      </c>
      <c r="AB33" s="120">
        <v>29749.4</v>
      </c>
      <c r="AC33" s="120">
        <v>33507.699999999997</v>
      </c>
    </row>
    <row r="34" spans="1:29" ht="15.75" customHeight="1">
      <c r="A34" s="45"/>
      <c r="B34" s="61" t="s">
        <v>75</v>
      </c>
      <c r="C34" s="483"/>
      <c r="D34" s="62"/>
      <c r="E34" s="62"/>
      <c r="F34" s="38"/>
      <c r="G34" s="38"/>
      <c r="H34" s="38"/>
      <c r="I34" s="38"/>
      <c r="J34" s="39"/>
      <c r="K34" s="39"/>
      <c r="L34" s="39"/>
      <c r="M34" s="38"/>
      <c r="N34" s="59"/>
      <c r="O34" s="60"/>
      <c r="P34" s="7"/>
      <c r="Q34" s="91" t="s">
        <v>76</v>
      </c>
      <c r="R34" s="92">
        <f>SUM(R23:R33)</f>
        <v>880952.17550000001</v>
      </c>
      <c r="S34" s="92">
        <f>SUM(S23:S33)</f>
        <v>880952.17550000001</v>
      </c>
      <c r="T34" s="92">
        <f>SUM(T23:T33)</f>
        <v>851885.16399999987</v>
      </c>
      <c r="U34" s="92">
        <f>SUM(U23:U33)</f>
        <v>819800.16399999999</v>
      </c>
      <c r="V34" s="93">
        <f>SUM(V25:V33)</f>
        <v>395411.21</v>
      </c>
      <c r="W34" s="93">
        <f>SUM(W25:W33)</f>
        <v>378657.02999999997</v>
      </c>
      <c r="X34" s="92">
        <f t="shared" si="8"/>
        <v>-29067.011500000139</v>
      </c>
      <c r="Y34" s="121">
        <f t="shared" si="7"/>
        <v>-3.4120809621236863E-2</v>
      </c>
      <c r="Z34" s="92">
        <f>SUM(Z23:Z33)</f>
        <v>794207.75</v>
      </c>
      <c r="AA34" s="92">
        <f>SUM(AA23:AA33)</f>
        <v>393835.04000000004</v>
      </c>
      <c r="AB34" s="92">
        <f>SUM(AB23:AB33)</f>
        <v>562059.10000000009</v>
      </c>
      <c r="AC34" s="95">
        <f>SUM(AC23:AC33)</f>
        <v>685990.1</v>
      </c>
    </row>
    <row r="35" spans="1:29" ht="15.75" customHeight="1">
      <c r="A35" s="122" t="s">
        <v>77</v>
      </c>
      <c r="B35" s="64" t="s">
        <v>78</v>
      </c>
      <c r="C35" s="69">
        <f>1043932.58263758+150000</f>
        <v>1193932.5826375801</v>
      </c>
      <c r="D35" s="69">
        <v>1043932.58263758</v>
      </c>
      <c r="E35" s="69">
        <v>1106561.6000000001</v>
      </c>
      <c r="F35" s="65">
        <v>964106</v>
      </c>
      <c r="G35" s="65">
        <v>650432</v>
      </c>
      <c r="H35" s="65">
        <v>1089097.2</v>
      </c>
      <c r="I35" s="65">
        <f>-(E35-D35)</f>
        <v>-62629.017362420098</v>
      </c>
      <c r="J35" s="66">
        <f>I35/E35</f>
        <v>-5.659785895554309E-2</v>
      </c>
      <c r="K35" s="68">
        <f>[1]Sheet21!$N$69+[1]Sheet21!$N$43</f>
        <v>1364815.7099999981</v>
      </c>
      <c r="L35" s="68">
        <v>1141485.613000005</v>
      </c>
      <c r="M35" s="70">
        <v>1089097.2</v>
      </c>
      <c r="N35" s="70">
        <v>-251380</v>
      </c>
      <c r="O35" s="70">
        <v>-593000</v>
      </c>
      <c r="P35" s="7"/>
      <c r="Q35" s="96"/>
      <c r="R35" s="39"/>
      <c r="S35" s="39"/>
      <c r="T35" s="39"/>
      <c r="U35" s="38"/>
      <c r="V35" s="38"/>
      <c r="W35" s="38"/>
      <c r="X35" s="38"/>
      <c r="Y35" s="39"/>
      <c r="Z35" s="38"/>
      <c r="AA35" s="39"/>
      <c r="AB35" s="38"/>
      <c r="AC35" s="38"/>
    </row>
    <row r="36" spans="1:29" ht="15.75" customHeight="1">
      <c r="A36" s="123"/>
      <c r="B36" s="72" t="s">
        <v>79</v>
      </c>
      <c r="C36" s="67">
        <v>-880657</v>
      </c>
      <c r="D36" s="67">
        <v>-880657</v>
      </c>
      <c r="E36" s="67">
        <v>-778758.5</v>
      </c>
      <c r="F36" s="67">
        <v>-902671</v>
      </c>
      <c r="G36" s="74">
        <v>-853291</v>
      </c>
      <c r="H36" s="83">
        <v>-808228.4</v>
      </c>
      <c r="I36" s="67">
        <f>-(E36-D36)</f>
        <v>-101898.5</v>
      </c>
      <c r="J36" s="73">
        <f>I36/E36</f>
        <v>0.13084736795810253</v>
      </c>
      <c r="K36" s="74">
        <f>-[1]Sheet21!$N$65</f>
        <v>-862249.05</v>
      </c>
      <c r="L36" s="74">
        <v>-850863.79999999993</v>
      </c>
      <c r="M36" s="76">
        <v>-808228.4</v>
      </c>
      <c r="N36" s="76">
        <v>-888172</v>
      </c>
      <c r="O36" s="76">
        <v>-809828</v>
      </c>
      <c r="P36" s="7"/>
      <c r="Q36" s="61" t="s">
        <v>80</v>
      </c>
      <c r="R36" s="62"/>
      <c r="S36" s="62"/>
      <c r="T36" s="62"/>
      <c r="U36" s="38"/>
      <c r="V36" s="38"/>
      <c r="W36" s="38"/>
      <c r="X36" s="38"/>
      <c r="Y36" s="39"/>
      <c r="Z36" s="38"/>
      <c r="AA36" s="39"/>
      <c r="AB36" s="38"/>
      <c r="AC36" s="38"/>
    </row>
    <row r="37" spans="1:29" ht="15.75" customHeight="1">
      <c r="A37" s="124" t="s">
        <v>81</v>
      </c>
      <c r="B37" s="72" t="s">
        <v>82</v>
      </c>
      <c r="C37" s="75">
        <f>375000+150000</f>
        <v>525000</v>
      </c>
      <c r="D37" s="75">
        <v>375000</v>
      </c>
      <c r="E37" s="75">
        <v>380000</v>
      </c>
      <c r="F37" s="67">
        <v>375000</v>
      </c>
      <c r="G37" s="67">
        <v>350000</v>
      </c>
      <c r="H37" s="67">
        <v>325000</v>
      </c>
      <c r="I37" s="67">
        <f>-(E37-D37)</f>
        <v>-5000</v>
      </c>
      <c r="J37" s="73">
        <f>I37/E37</f>
        <v>-1.3157894736842105E-2</v>
      </c>
      <c r="K37" s="74">
        <v>845316.76</v>
      </c>
      <c r="L37" s="74">
        <v>178148</v>
      </c>
      <c r="M37" s="76">
        <v>322408</v>
      </c>
      <c r="N37" s="76">
        <v>170356</v>
      </c>
      <c r="O37" s="76">
        <v>302000</v>
      </c>
      <c r="P37" s="7"/>
      <c r="Q37" s="64" t="s">
        <v>83</v>
      </c>
      <c r="R37" s="69">
        <f>'Ancillary Services'!D81</f>
        <v>278874</v>
      </c>
      <c r="S37" s="69">
        <f>'Ancillary Services'!E81</f>
        <v>278874</v>
      </c>
      <c r="T37" s="69">
        <f>'Ancillary Services'!F81</f>
        <v>244933</v>
      </c>
      <c r="U37" s="65">
        <f>'Ancillary Services'!G81</f>
        <v>259933</v>
      </c>
      <c r="V37" s="65">
        <v>138605</v>
      </c>
      <c r="W37" s="65">
        <v>113127</v>
      </c>
      <c r="X37" s="65">
        <f t="shared" ref="X37:X43" si="9">T37-S37</f>
        <v>-33941</v>
      </c>
      <c r="Y37" s="66">
        <f t="shared" ref="Y37:Y44" si="10">(X37/T37)</f>
        <v>-0.13857258923868976</v>
      </c>
      <c r="Z37" s="65">
        <f>'Ancillary Services'!J81</f>
        <v>199775.12999999995</v>
      </c>
      <c r="AA37" s="68"/>
      <c r="AB37" s="70">
        <v>113127</v>
      </c>
      <c r="AC37" s="70">
        <v>101207.1</v>
      </c>
    </row>
    <row r="38" spans="1:29" ht="15.75" customHeight="1">
      <c r="A38" s="125"/>
      <c r="B38" s="85" t="s">
        <v>84</v>
      </c>
      <c r="C38" s="484"/>
      <c r="D38" s="86">
        <v>0</v>
      </c>
      <c r="E38" s="86">
        <v>0</v>
      </c>
      <c r="F38" s="28">
        <v>0</v>
      </c>
      <c r="G38" s="126" t="s">
        <v>44</v>
      </c>
      <c r="H38" s="126" t="s">
        <v>44</v>
      </c>
      <c r="I38" s="87">
        <f>-(E38-D38)</f>
        <v>0</v>
      </c>
      <c r="J38" s="108" t="e">
        <f>I38/E38</f>
        <v>#DIV/0!</v>
      </c>
      <c r="K38" s="127"/>
      <c r="L38" s="127"/>
      <c r="M38" s="128" t="s">
        <v>44</v>
      </c>
      <c r="N38" s="90" t="s">
        <v>44</v>
      </c>
      <c r="O38" s="120">
        <v>1456708</v>
      </c>
      <c r="P38" s="7"/>
      <c r="Q38" s="72" t="s">
        <v>85</v>
      </c>
      <c r="R38" s="75">
        <v>0</v>
      </c>
      <c r="S38" s="75">
        <v>0</v>
      </c>
      <c r="T38" s="75">
        <v>0</v>
      </c>
      <c r="U38" s="67">
        <v>0</v>
      </c>
      <c r="V38" s="67">
        <v>134040</v>
      </c>
      <c r="W38" s="67">
        <v>129298</v>
      </c>
      <c r="X38" s="67">
        <f t="shared" si="9"/>
        <v>0</v>
      </c>
      <c r="Y38" s="104" t="e">
        <f t="shared" si="10"/>
        <v>#DIV/0!</v>
      </c>
      <c r="Z38" s="67"/>
      <c r="AA38" s="74">
        <v>489.67</v>
      </c>
      <c r="AB38" s="76">
        <v>129298</v>
      </c>
      <c r="AC38" s="76">
        <v>101766.7</v>
      </c>
    </row>
    <row r="39" spans="1:29" ht="15.75" customHeight="1">
      <c r="A39" s="122" t="s">
        <v>86</v>
      </c>
      <c r="B39" s="129" t="s">
        <v>87</v>
      </c>
      <c r="C39" s="130">
        <f>SUM(C35:C38)</f>
        <v>838275.58263758011</v>
      </c>
      <c r="D39" s="130">
        <f>SUM(D35:D38)</f>
        <v>538275.58263758</v>
      </c>
      <c r="E39" s="130">
        <f>SUM(E35:E38)</f>
        <v>707803.10000000009</v>
      </c>
      <c r="F39" s="116">
        <f>SUM(F35:F38)</f>
        <v>436435</v>
      </c>
      <c r="G39" s="116">
        <f>SUM(G35:G38)</f>
        <v>147141</v>
      </c>
      <c r="H39" s="116">
        <f>SUM(H35:H38)</f>
        <v>605868.79999999993</v>
      </c>
      <c r="I39" s="130">
        <f>-(E39-D39)</f>
        <v>-169527.5173624201</v>
      </c>
      <c r="J39" s="131">
        <f>I39/E39</f>
        <v>-0.23951225610967242</v>
      </c>
      <c r="K39" s="114">
        <f>SUM(K35:K38)</f>
        <v>1347883.4199999981</v>
      </c>
      <c r="L39" s="114">
        <f>SUM(L35:L38)</f>
        <v>468769.81300000509</v>
      </c>
      <c r="M39" s="114">
        <v>605868.80000000005</v>
      </c>
      <c r="N39" s="114">
        <v>-969196</v>
      </c>
      <c r="O39" s="114">
        <v>355880</v>
      </c>
      <c r="P39" s="7"/>
      <c r="Q39" s="72" t="s">
        <v>88</v>
      </c>
      <c r="R39" s="75">
        <f>'AMS Events'!D120</f>
        <v>306070.28000000003</v>
      </c>
      <c r="S39" s="75">
        <f>'AMS Events'!E120</f>
        <v>306070.28000000003</v>
      </c>
      <c r="T39" s="75">
        <f>'AMS Events'!F120</f>
        <v>286623.88</v>
      </c>
      <c r="U39" s="67">
        <f>'AMS Events'!G120</f>
        <v>286623.88</v>
      </c>
      <c r="V39" s="67">
        <v>201571.4</v>
      </c>
      <c r="W39" s="67">
        <v>148947</v>
      </c>
      <c r="X39" s="67">
        <f t="shared" si="9"/>
        <v>-19446.400000000023</v>
      </c>
      <c r="Y39" s="73">
        <f t="shared" si="10"/>
        <v>-6.7846405540250246E-2</v>
      </c>
      <c r="Z39" s="75">
        <f>'AMS Events'!I120</f>
        <v>147947</v>
      </c>
      <c r="AA39" s="74"/>
      <c r="AB39" s="76">
        <v>148947</v>
      </c>
      <c r="AC39" s="76">
        <v>141227.70000000001</v>
      </c>
    </row>
    <row r="40" spans="1:29" ht="15.75" customHeight="1">
      <c r="A40" s="123"/>
      <c r="B40" s="96"/>
      <c r="C40" s="208"/>
      <c r="D40" s="39"/>
      <c r="E40" s="39"/>
      <c r="F40" s="38"/>
      <c r="G40" s="38"/>
      <c r="H40" s="38"/>
      <c r="I40" s="38"/>
      <c r="J40" s="39"/>
      <c r="K40" s="39"/>
      <c r="L40" s="39"/>
      <c r="M40" s="38"/>
      <c r="N40" s="59"/>
      <c r="O40" s="60"/>
      <c r="P40" s="7"/>
      <c r="Q40" s="72" t="s">
        <v>89</v>
      </c>
      <c r="R40" s="75">
        <f>'AMS Events'!D123</f>
        <v>60000</v>
      </c>
      <c r="S40" s="75">
        <f>'AMS Events'!E123</f>
        <v>60000</v>
      </c>
      <c r="T40" s="75">
        <f>'AMS Events'!F123</f>
        <v>35750</v>
      </c>
      <c r="U40" s="67">
        <f>'AMS Events'!G118</f>
        <v>35750</v>
      </c>
      <c r="V40" s="67">
        <v>24771</v>
      </c>
      <c r="W40" s="67">
        <v>43390</v>
      </c>
      <c r="X40" s="67">
        <f t="shared" si="9"/>
        <v>-24250</v>
      </c>
      <c r="Y40" s="73">
        <f t="shared" si="10"/>
        <v>-0.67832167832167833</v>
      </c>
      <c r="Z40" s="75">
        <f>'AMS Events'!I123</f>
        <v>20509</v>
      </c>
      <c r="AA40" s="74"/>
      <c r="AB40" s="76">
        <v>43390</v>
      </c>
      <c r="AC40" s="76">
        <v>212995.20000000001</v>
      </c>
    </row>
    <row r="41" spans="1:29" ht="15.75" customHeight="1">
      <c r="A41" s="2"/>
      <c r="B41" s="61" t="s">
        <v>90</v>
      </c>
      <c r="C41" s="483"/>
      <c r="D41" s="62"/>
      <c r="E41" s="62"/>
      <c r="F41" s="38"/>
      <c r="G41" s="38"/>
      <c r="H41" s="38"/>
      <c r="I41" s="38"/>
      <c r="J41" s="39"/>
      <c r="K41" s="39"/>
      <c r="L41" s="39"/>
      <c r="M41" s="38"/>
      <c r="N41" s="59"/>
      <c r="O41" s="60"/>
      <c r="P41" s="7"/>
      <c r="Q41" s="72" t="s">
        <v>91</v>
      </c>
      <c r="R41" s="75">
        <f>'AMS Events'!D122</f>
        <v>59170.479999999981</v>
      </c>
      <c r="S41" s="75">
        <f>'AMS Events'!E122</f>
        <v>59170.479999999981</v>
      </c>
      <c r="T41" s="75">
        <f>'AMS Events'!F122</f>
        <v>51822.600000000006</v>
      </c>
      <c r="U41" s="67">
        <f>'AMS Events'!G98</f>
        <v>61822.600000000006</v>
      </c>
      <c r="V41" s="67">
        <v>48236</v>
      </c>
      <c r="W41" s="67">
        <v>5496.9</v>
      </c>
      <c r="X41" s="67">
        <f t="shared" si="9"/>
        <v>-7347.8799999999756</v>
      </c>
      <c r="Y41" s="73">
        <f t="shared" si="10"/>
        <v>-0.14178910359572802</v>
      </c>
      <c r="Z41" s="75">
        <f>'AMS Events'!I122</f>
        <v>5696.8800000000047</v>
      </c>
      <c r="AA41" s="74"/>
      <c r="AB41" s="76">
        <v>5496.9</v>
      </c>
      <c r="AC41" s="76">
        <v>22455.9</v>
      </c>
    </row>
    <row r="42" spans="1:29" ht="15.75" customHeight="1">
      <c r="A42" s="45"/>
      <c r="B42" s="64" t="s">
        <v>64</v>
      </c>
      <c r="C42" s="65">
        <f>C28</f>
        <v>2670200</v>
      </c>
      <c r="D42" s="65">
        <f>D28</f>
        <v>2670200</v>
      </c>
      <c r="E42" s="65">
        <v>2600000</v>
      </c>
      <c r="F42" s="65">
        <v>2600000</v>
      </c>
      <c r="G42" s="65">
        <v>2500000</v>
      </c>
      <c r="H42" s="65">
        <v>2400000</v>
      </c>
      <c r="I42" s="65">
        <f t="shared" ref="I42:I71" si="11">-(E42-D42)</f>
        <v>70200</v>
      </c>
      <c r="J42" s="66">
        <f t="shared" ref="J42:J71" si="12">I42/E42</f>
        <v>2.7E-2</v>
      </c>
      <c r="K42" s="68">
        <v>2547681.16</v>
      </c>
      <c r="L42" s="68">
        <f>L28</f>
        <v>2357393.8492800002</v>
      </c>
      <c r="M42" s="70">
        <v>2400000</v>
      </c>
      <c r="N42" s="70">
        <v>2352401</v>
      </c>
      <c r="O42" s="70">
        <v>1932000</v>
      </c>
      <c r="P42" s="7"/>
      <c r="Q42" s="72" t="s">
        <v>92</v>
      </c>
      <c r="R42" s="75">
        <v>0</v>
      </c>
      <c r="S42" s="75">
        <v>0</v>
      </c>
      <c r="T42" s="75">
        <v>0</v>
      </c>
      <c r="U42" s="67">
        <v>0</v>
      </c>
      <c r="V42" s="67">
        <v>16000</v>
      </c>
      <c r="W42" s="67">
        <v>7356</v>
      </c>
      <c r="X42" s="67">
        <f t="shared" si="9"/>
        <v>0</v>
      </c>
      <c r="Y42" s="104" t="e">
        <f t="shared" si="10"/>
        <v>#DIV/0!</v>
      </c>
      <c r="Z42" s="75">
        <v>0</v>
      </c>
      <c r="AA42" s="74">
        <v>272.89999999999998</v>
      </c>
      <c r="AB42" s="76">
        <v>7356</v>
      </c>
      <c r="AC42" s="76">
        <v>2839.6</v>
      </c>
    </row>
    <row r="43" spans="1:29" ht="15.75" customHeight="1">
      <c r="A43" s="57" t="s">
        <v>22</v>
      </c>
      <c r="B43" s="72" t="s">
        <v>62</v>
      </c>
      <c r="C43" s="67">
        <f>C27</f>
        <v>168000</v>
      </c>
      <c r="D43" s="67">
        <f>D27</f>
        <v>21857.142857142855</v>
      </c>
      <c r="E43" s="67">
        <v>51000</v>
      </c>
      <c r="F43" s="67">
        <v>51000</v>
      </c>
      <c r="G43" s="67">
        <v>51000</v>
      </c>
      <c r="H43" s="132" t="s">
        <v>44</v>
      </c>
      <c r="I43" s="67">
        <f t="shared" si="11"/>
        <v>-29142.857142857145</v>
      </c>
      <c r="J43" s="73">
        <f t="shared" si="12"/>
        <v>-0.57142857142857151</v>
      </c>
      <c r="K43" s="82">
        <v>55293</v>
      </c>
      <c r="L43" s="82">
        <f>L27</f>
        <v>51621.696000000004</v>
      </c>
      <c r="M43" s="133" t="s">
        <v>44</v>
      </c>
      <c r="N43" s="84" t="s">
        <v>44</v>
      </c>
      <c r="O43" s="134"/>
      <c r="P43" s="7"/>
      <c r="Q43" s="85" t="s">
        <v>93</v>
      </c>
      <c r="R43" s="86">
        <f>'AMS Events'!D121</f>
        <v>237000</v>
      </c>
      <c r="S43" s="86">
        <f>'AMS Events'!E121</f>
        <v>48000</v>
      </c>
      <c r="T43" s="86">
        <f>'AMS Events'!F121</f>
        <v>35000</v>
      </c>
      <c r="U43" s="87">
        <f>'AMS Events'!G69</f>
        <v>35000</v>
      </c>
      <c r="V43" s="87">
        <v>48965</v>
      </c>
      <c r="W43" s="87">
        <v>63415</v>
      </c>
      <c r="X43" s="87">
        <f t="shared" si="9"/>
        <v>-13000</v>
      </c>
      <c r="Y43" s="88">
        <f t="shared" si="10"/>
        <v>-0.37142857142857144</v>
      </c>
      <c r="Z43" s="86">
        <f>'AMS Events'!I121</f>
        <v>63415</v>
      </c>
      <c r="AA43" s="89"/>
      <c r="AB43" s="120">
        <v>63415</v>
      </c>
      <c r="AC43" s="120">
        <v>58559.7</v>
      </c>
    </row>
    <row r="44" spans="1:29" ht="15.75" customHeight="1">
      <c r="A44" s="63">
        <v>0.70364000000000004</v>
      </c>
      <c r="B44" s="72" t="s">
        <v>94</v>
      </c>
      <c r="C44" s="67">
        <f>C26</f>
        <v>14387772.000000002</v>
      </c>
      <c r="D44" s="67">
        <f>D26</f>
        <v>9155504.557500001</v>
      </c>
      <c r="E44" s="67">
        <v>8631439.75</v>
      </c>
      <c r="F44" s="67">
        <v>8631439.75</v>
      </c>
      <c r="G44" s="67">
        <v>7810540</v>
      </c>
      <c r="H44" s="67">
        <v>7530693</v>
      </c>
      <c r="I44" s="67">
        <f t="shared" si="11"/>
        <v>524064.80750000104</v>
      </c>
      <c r="J44" s="73">
        <f t="shared" si="12"/>
        <v>6.0715804394046897E-2</v>
      </c>
      <c r="K44" s="74">
        <v>10253097.27775</v>
      </c>
      <c r="L44" s="74">
        <f>L26</f>
        <v>9574689.9464999977</v>
      </c>
      <c r="M44" s="76">
        <v>7530693</v>
      </c>
      <c r="N44" s="76">
        <v>7366650</v>
      </c>
      <c r="O44" s="76">
        <v>7270638.2000000002</v>
      </c>
      <c r="P44" s="7"/>
      <c r="Q44" s="91" t="s">
        <v>95</v>
      </c>
      <c r="R44" s="92">
        <f t="shared" ref="R44" si="13">SUM(R37:R43)</f>
        <v>941114.76</v>
      </c>
      <c r="S44" s="92">
        <f t="shared" ref="S44:X44" si="14">SUM(S37:S43)</f>
        <v>752114.76</v>
      </c>
      <c r="T44" s="92">
        <f t="shared" si="14"/>
        <v>654129.48</v>
      </c>
      <c r="U44" s="93">
        <f t="shared" si="14"/>
        <v>679129.48</v>
      </c>
      <c r="V44" s="93">
        <f t="shared" si="14"/>
        <v>612188.4</v>
      </c>
      <c r="W44" s="93">
        <f t="shared" si="14"/>
        <v>511029.9</v>
      </c>
      <c r="X44" s="93">
        <f t="shared" si="14"/>
        <v>-97985.279999999999</v>
      </c>
      <c r="Y44" s="94">
        <f t="shared" si="10"/>
        <v>-0.14979493050825352</v>
      </c>
      <c r="Z44" s="92">
        <f>SUM(Z37:Z43)</f>
        <v>437343.00999999995</v>
      </c>
      <c r="AA44" s="92">
        <f>SUM(AA37:AA43)</f>
        <v>762.56999999999994</v>
      </c>
      <c r="AB44" s="92">
        <f>SUM(AB37:AB43)</f>
        <v>511029.9</v>
      </c>
      <c r="AC44" s="95">
        <f>SUM(AC37:AC43)</f>
        <v>641051.89999999991</v>
      </c>
    </row>
    <row r="45" spans="1:29" ht="15.75" customHeight="1">
      <c r="A45" s="71">
        <v>0.70364000000000004</v>
      </c>
      <c r="B45" s="72" t="s">
        <v>96</v>
      </c>
      <c r="C45" s="67">
        <f>E45</f>
        <v>3000</v>
      </c>
      <c r="D45" s="67">
        <f>F45</f>
        <v>3000</v>
      </c>
      <c r="E45" s="67">
        <v>3000</v>
      </c>
      <c r="F45" s="67">
        <v>3000</v>
      </c>
      <c r="G45" s="67">
        <v>3000</v>
      </c>
      <c r="H45" s="67">
        <v>3000</v>
      </c>
      <c r="I45" s="67">
        <f t="shared" si="11"/>
        <v>0</v>
      </c>
      <c r="J45" s="73">
        <f t="shared" si="12"/>
        <v>0</v>
      </c>
      <c r="K45" s="74">
        <f>L45</f>
        <v>3000</v>
      </c>
      <c r="L45" s="74">
        <f>M45</f>
        <v>3000</v>
      </c>
      <c r="M45" s="76">
        <v>3000</v>
      </c>
      <c r="N45" s="76">
        <v>3000</v>
      </c>
      <c r="O45" s="76">
        <v>1500</v>
      </c>
      <c r="P45" s="7"/>
      <c r="Q45" s="96"/>
      <c r="R45" s="39"/>
      <c r="S45" s="39"/>
      <c r="T45" s="39"/>
      <c r="U45" s="38"/>
      <c r="V45" s="38"/>
      <c r="W45" s="38"/>
      <c r="X45" s="38"/>
      <c r="Y45" s="39"/>
      <c r="Z45" s="38"/>
      <c r="AA45" s="39"/>
      <c r="AB45" s="38"/>
      <c r="AC45" s="38"/>
    </row>
    <row r="46" spans="1:29" ht="15.75" customHeight="1">
      <c r="A46" s="71">
        <v>0.70364000000000004</v>
      </c>
      <c r="B46" s="72" t="s">
        <v>97</v>
      </c>
      <c r="C46" s="67">
        <f>C10</f>
        <v>458370.6399999999</v>
      </c>
      <c r="D46" s="67">
        <f>D10</f>
        <v>417444.68999999994</v>
      </c>
      <c r="E46" s="67">
        <v>398500</v>
      </c>
      <c r="F46" s="67">
        <v>398500</v>
      </c>
      <c r="G46" s="67">
        <v>383268</v>
      </c>
      <c r="H46" s="67">
        <v>372890</v>
      </c>
      <c r="I46" s="67">
        <f t="shared" si="11"/>
        <v>18944.689999999944</v>
      </c>
      <c r="J46" s="73">
        <f t="shared" si="12"/>
        <v>4.753999999999986E-2</v>
      </c>
      <c r="K46" s="74">
        <v>406116.89</v>
      </c>
      <c r="L46" s="74">
        <f>L10</f>
        <v>393112.55</v>
      </c>
      <c r="M46" s="76">
        <v>372890</v>
      </c>
      <c r="N46" s="76">
        <v>362084</v>
      </c>
      <c r="O46" s="76">
        <v>343935.1</v>
      </c>
      <c r="P46" s="7"/>
      <c r="Q46" s="91" t="s">
        <v>98</v>
      </c>
      <c r="R46" s="135">
        <f>S46</f>
        <v>186941.23928463054</v>
      </c>
      <c r="S46" s="135">
        <f>0.07*D90</f>
        <v>186941.23928463054</v>
      </c>
      <c r="T46" s="135">
        <f>0.06*E90-'Executive Committee'!F160</f>
        <v>147738.18600000007</v>
      </c>
      <c r="U46" s="93">
        <f>0.06*F90</f>
        <v>148256.1</v>
      </c>
      <c r="V46" s="93">
        <v>106172.9</v>
      </c>
      <c r="W46" s="93">
        <v>128216.3</v>
      </c>
      <c r="X46" s="93">
        <f>T46-S46</f>
        <v>-39203.05328463047</v>
      </c>
      <c r="Y46" s="121">
        <f>(X46/T46)</f>
        <v>-0.26535491159090346</v>
      </c>
      <c r="Z46" s="135">
        <f>0.06*K90-'Executive Committee'!I160</f>
        <v>98929.051531111516</v>
      </c>
      <c r="AA46" s="135">
        <f>0.06*L90-'Executive Committee'!J160</f>
        <v>148401.31398000015</v>
      </c>
      <c r="AB46" s="93">
        <v>125067.2</v>
      </c>
      <c r="AC46" s="136">
        <v>43200.85</v>
      </c>
    </row>
    <row r="47" spans="1:29" ht="15.75" customHeight="1">
      <c r="A47" s="71">
        <v>0.70364000000000004</v>
      </c>
      <c r="B47" s="72" t="s">
        <v>99</v>
      </c>
      <c r="C47" s="67">
        <f>C23</f>
        <v>321492.07999999996</v>
      </c>
      <c r="D47" s="67">
        <f>D23</f>
        <v>292787.43</v>
      </c>
      <c r="E47" s="67">
        <v>279500</v>
      </c>
      <c r="F47" s="67">
        <v>279500</v>
      </c>
      <c r="G47" s="67">
        <v>268632</v>
      </c>
      <c r="H47" s="67">
        <v>261660</v>
      </c>
      <c r="I47" s="67">
        <f t="shared" si="11"/>
        <v>13287.429999999993</v>
      </c>
      <c r="J47" s="73">
        <f t="shared" si="12"/>
        <v>4.7539999999999978E-2</v>
      </c>
      <c r="K47" s="74">
        <v>286774.18</v>
      </c>
      <c r="L47" s="74">
        <f>L23</f>
        <v>277384.68</v>
      </c>
      <c r="M47" s="76">
        <v>261660</v>
      </c>
      <c r="N47" s="76">
        <v>254043</v>
      </c>
      <c r="O47" s="76">
        <v>241220.6</v>
      </c>
      <c r="P47" s="7"/>
      <c r="Q47" s="96"/>
      <c r="R47" s="39"/>
      <c r="S47" s="39"/>
      <c r="T47" s="39"/>
      <c r="U47" s="38"/>
      <c r="V47" s="38"/>
      <c r="W47" s="38"/>
      <c r="X47" s="38"/>
      <c r="Y47" s="39"/>
      <c r="Z47" s="38"/>
      <c r="AA47" s="39"/>
      <c r="AB47" s="38"/>
      <c r="AC47" s="38"/>
    </row>
    <row r="48" spans="1:29" ht="15.75" customHeight="1">
      <c r="A48" s="71">
        <v>0.70364000000000004</v>
      </c>
      <c r="B48" s="72" t="s">
        <v>41</v>
      </c>
      <c r="C48" s="67">
        <f>C13</f>
        <v>62112.959999999999</v>
      </c>
      <c r="D48" s="67">
        <f>D13</f>
        <v>56567.159999999996</v>
      </c>
      <c r="E48" s="67">
        <v>54000</v>
      </c>
      <c r="F48" s="67">
        <v>54000</v>
      </c>
      <c r="G48" s="67">
        <v>52644</v>
      </c>
      <c r="H48" s="67">
        <v>50960</v>
      </c>
      <c r="I48" s="67">
        <f t="shared" si="11"/>
        <v>2567.1599999999962</v>
      </c>
      <c r="J48" s="73">
        <f t="shared" si="12"/>
        <v>4.753999999999993E-2</v>
      </c>
      <c r="K48" s="74">
        <v>55066.13</v>
      </c>
      <c r="L48" s="74">
        <f>L13</f>
        <v>53522.33</v>
      </c>
      <c r="M48" s="76">
        <v>50960</v>
      </c>
      <c r="N48" s="76">
        <v>50214</v>
      </c>
      <c r="O48" s="76">
        <v>47116.3</v>
      </c>
      <c r="P48" s="7"/>
      <c r="Q48" s="91" t="s">
        <v>100</v>
      </c>
      <c r="R48" s="135">
        <f>SUM(R20+R34+R44+R46)</f>
        <v>3048123.1729846303</v>
      </c>
      <c r="S48" s="135">
        <f>SUM(S20+S34+S44+S46)</f>
        <v>2859123.1729846303</v>
      </c>
      <c r="T48" s="135">
        <f>SUM(T20+T34+T44+T46)</f>
        <v>2617541.65</v>
      </c>
      <c r="U48" s="93">
        <f>U20+U34+U44+U46</f>
        <v>2620521.287</v>
      </c>
      <c r="V48" s="93">
        <f>SUM(V46,V44,V34,V20)</f>
        <v>2045289.01</v>
      </c>
      <c r="W48" s="93">
        <v>2289525.4</v>
      </c>
      <c r="X48" s="93">
        <f>T48-S48</f>
        <v>-241581.52298463043</v>
      </c>
      <c r="Y48" s="121">
        <f>(X48/T48)</f>
        <v>-9.2293287094259005E-2</v>
      </c>
      <c r="Z48" s="135">
        <f>SUM(Z20+Z34+Z44+Z46)</f>
        <v>2072511.6715311117</v>
      </c>
      <c r="AA48" s="135">
        <f>SUM(AA20+AA34+AA44+AA46)</f>
        <v>1426824.9239800002</v>
      </c>
      <c r="AB48" s="135">
        <f>SUM(AB20+AB34+AB44+AB46)</f>
        <v>2006285.2</v>
      </c>
      <c r="AC48" s="137">
        <f>SUM(AC20+AC34+AC44+AC46)</f>
        <v>1971938.75</v>
      </c>
    </row>
    <row r="49" spans="1:29" ht="15.75" customHeight="1">
      <c r="A49" s="71">
        <v>0.70364000000000004</v>
      </c>
      <c r="B49" s="72" t="s">
        <v>101</v>
      </c>
      <c r="C49" s="67">
        <f>C21</f>
        <v>96620.159999999989</v>
      </c>
      <c r="D49" s="67">
        <f>D21</f>
        <v>87993.359999999986</v>
      </c>
      <c r="E49" s="67">
        <v>84000</v>
      </c>
      <c r="F49" s="67">
        <v>84000</v>
      </c>
      <c r="G49" s="67">
        <v>80688</v>
      </c>
      <c r="H49" s="67">
        <v>78400</v>
      </c>
      <c r="I49" s="67">
        <f t="shared" si="11"/>
        <v>3993.359999999986</v>
      </c>
      <c r="J49" s="73">
        <f t="shared" si="12"/>
        <v>4.7539999999999832E-2</v>
      </c>
      <c r="K49" s="74">
        <v>85654.41</v>
      </c>
      <c r="L49" s="74">
        <f>L21</f>
        <v>82799.13</v>
      </c>
      <c r="M49" s="76">
        <v>78400</v>
      </c>
      <c r="N49" s="76">
        <v>75921</v>
      </c>
      <c r="O49" s="76">
        <v>72375.5</v>
      </c>
      <c r="P49" s="7"/>
      <c r="Q49" s="12"/>
      <c r="R49" s="434"/>
      <c r="S49" s="3"/>
      <c r="T49" s="3"/>
      <c r="U49" s="3"/>
      <c r="V49" s="3"/>
      <c r="W49" s="3"/>
      <c r="X49" s="3"/>
      <c r="Y49" s="3"/>
      <c r="Z49" s="9"/>
      <c r="AA49" s="3"/>
      <c r="AB49" s="3"/>
      <c r="AC49" s="3"/>
    </row>
    <row r="50" spans="1:29" ht="15.75" customHeight="1">
      <c r="A50" s="71">
        <v>0.70364000000000004</v>
      </c>
      <c r="B50" s="72" t="s">
        <v>102</v>
      </c>
      <c r="C50" s="67">
        <f>0</f>
        <v>0</v>
      </c>
      <c r="D50" s="67">
        <f>0</f>
        <v>0</v>
      </c>
      <c r="E50" s="67">
        <v>0</v>
      </c>
      <c r="F50" s="67">
        <v>0</v>
      </c>
      <c r="G50" s="67">
        <v>0</v>
      </c>
      <c r="H50" s="67">
        <v>0</v>
      </c>
      <c r="I50" s="67">
        <f t="shared" si="11"/>
        <v>0</v>
      </c>
      <c r="J50" s="104" t="e">
        <f t="shared" si="12"/>
        <v>#DIV/0!</v>
      </c>
      <c r="K50" s="74"/>
      <c r="L50" s="74">
        <v>0</v>
      </c>
      <c r="M50" s="76">
        <v>0</v>
      </c>
      <c r="N50" s="76">
        <v>30000</v>
      </c>
      <c r="O50" s="84" t="s">
        <v>44</v>
      </c>
      <c r="P50" s="7"/>
      <c r="Q50" s="22"/>
      <c r="R50" s="436"/>
      <c r="S50" s="19"/>
      <c r="T50" s="19"/>
      <c r="U50" s="19"/>
      <c r="V50" s="19"/>
      <c r="W50" s="19"/>
      <c r="X50" s="19"/>
      <c r="Y50" s="19"/>
      <c r="Z50" s="18"/>
      <c r="AA50" s="19"/>
      <c r="AB50" s="19"/>
      <c r="AC50" s="19"/>
    </row>
    <row r="51" spans="1:29" ht="15.75" customHeight="1">
      <c r="A51" s="71">
        <v>0.70364000000000004</v>
      </c>
      <c r="B51" s="72" t="s">
        <v>103</v>
      </c>
      <c r="C51" s="67">
        <f>C12-C52</f>
        <v>1146000</v>
      </c>
      <c r="D51" s="67">
        <f>D12-D52</f>
        <v>1041000</v>
      </c>
      <c r="E51" s="67">
        <v>1050000</v>
      </c>
      <c r="F51" s="67">
        <v>1050000</v>
      </c>
      <c r="G51" s="67">
        <v>1033200</v>
      </c>
      <c r="H51" s="67">
        <v>1029000</v>
      </c>
      <c r="I51" s="67">
        <f t="shared" si="11"/>
        <v>-9000</v>
      </c>
      <c r="J51" s="73">
        <f t="shared" si="12"/>
        <v>-8.5714285714285719E-3</v>
      </c>
      <c r="K51" s="74">
        <v>1070905.5</v>
      </c>
      <c r="L51" s="74">
        <f>L12-L52</f>
        <v>1030374</v>
      </c>
      <c r="M51" s="76">
        <v>1029000</v>
      </c>
      <c r="N51" s="76">
        <v>1022031</v>
      </c>
      <c r="O51" s="76">
        <v>978677</v>
      </c>
      <c r="P51" s="7"/>
      <c r="Q51" s="22"/>
      <c r="R51" s="436"/>
      <c r="S51" s="19"/>
      <c r="T51" s="19"/>
      <c r="U51" s="19"/>
      <c r="V51" s="19"/>
      <c r="W51" s="19"/>
      <c r="X51" s="19"/>
      <c r="Y51" s="19"/>
      <c r="Z51" s="18"/>
      <c r="AA51" s="19"/>
      <c r="AB51" s="19"/>
      <c r="AC51" s="19"/>
    </row>
    <row r="52" spans="1:29" ht="15.75" customHeight="1">
      <c r="A52" s="71">
        <v>0.70364000000000004</v>
      </c>
      <c r="B52" s="72" t="s">
        <v>104</v>
      </c>
      <c r="C52" s="67">
        <f>30000</f>
        <v>30000</v>
      </c>
      <c r="D52" s="67">
        <f>30000</f>
        <v>30000</v>
      </c>
      <c r="E52" s="67"/>
      <c r="F52" s="67"/>
      <c r="G52" s="67"/>
      <c r="H52" s="67"/>
      <c r="I52" s="67">
        <f t="shared" si="11"/>
        <v>30000</v>
      </c>
      <c r="J52" s="104" t="e">
        <f t="shared" si="12"/>
        <v>#DIV/0!</v>
      </c>
      <c r="K52" s="74">
        <v>30000</v>
      </c>
      <c r="L52" s="74">
        <v>30000</v>
      </c>
      <c r="M52" s="76"/>
      <c r="N52" s="76"/>
      <c r="O52" s="76"/>
      <c r="P52" s="22"/>
      <c r="Q52" s="19"/>
      <c r="R52" s="437"/>
      <c r="S52" s="19"/>
      <c r="T52" s="19"/>
      <c r="U52" s="19"/>
      <c r="V52" s="19"/>
      <c r="W52" s="19"/>
      <c r="X52" s="19"/>
      <c r="Y52" s="19"/>
      <c r="Z52" s="18"/>
      <c r="AA52" s="19"/>
      <c r="AB52" s="19"/>
      <c r="AC52" s="19"/>
    </row>
    <row r="53" spans="1:29" ht="15.75" customHeight="1">
      <c r="A53" s="71">
        <v>0.70364000000000004</v>
      </c>
      <c r="B53" s="72" t="s">
        <v>105</v>
      </c>
      <c r="C53" s="67">
        <f>C16</f>
        <v>314015.51999999996</v>
      </c>
      <c r="D53" s="67">
        <f>D16</f>
        <v>285978.42</v>
      </c>
      <c r="E53" s="67">
        <v>273000</v>
      </c>
      <c r="F53" s="67">
        <v>273000</v>
      </c>
      <c r="G53" s="67">
        <v>262728</v>
      </c>
      <c r="H53" s="67">
        <v>255780</v>
      </c>
      <c r="I53" s="67">
        <f t="shared" si="11"/>
        <v>12978.419999999984</v>
      </c>
      <c r="J53" s="73">
        <f t="shared" si="12"/>
        <v>4.7539999999999943E-2</v>
      </c>
      <c r="K53" s="74">
        <v>278393.78999999998</v>
      </c>
      <c r="L53" s="74">
        <f>L16</f>
        <v>269641</v>
      </c>
      <c r="M53" s="76">
        <v>255780</v>
      </c>
      <c r="N53" s="76">
        <v>127021</v>
      </c>
      <c r="O53" s="76">
        <v>120610.3</v>
      </c>
      <c r="P53" s="22"/>
      <c r="Q53" s="19"/>
      <c r="R53" s="437"/>
      <c r="S53" s="19"/>
      <c r="T53" s="19"/>
      <c r="U53" s="18"/>
      <c r="V53" s="18"/>
      <c r="W53" s="18"/>
      <c r="X53" s="18"/>
      <c r="Y53" s="19"/>
      <c r="Z53" s="18"/>
      <c r="AA53" s="19"/>
      <c r="AB53" s="18"/>
      <c r="AC53" s="18"/>
    </row>
    <row r="54" spans="1:29" ht="15.75" customHeight="1">
      <c r="A54" s="71"/>
      <c r="B54" s="72" t="s">
        <v>106</v>
      </c>
      <c r="C54" s="67">
        <f>C17</f>
        <v>96620.159999999989</v>
      </c>
      <c r="D54" s="67">
        <f>D17</f>
        <v>87993.359999999986</v>
      </c>
      <c r="E54" s="67">
        <v>84000</v>
      </c>
      <c r="F54" s="67">
        <v>84000</v>
      </c>
      <c r="G54" s="67">
        <v>80688</v>
      </c>
      <c r="H54" s="67">
        <v>78400</v>
      </c>
      <c r="I54" s="67">
        <f t="shared" si="11"/>
        <v>3993.359999999986</v>
      </c>
      <c r="J54" s="73">
        <f t="shared" si="12"/>
        <v>4.7539999999999832E-2</v>
      </c>
      <c r="K54" s="74">
        <v>86139.75</v>
      </c>
      <c r="L54" s="74">
        <f>L17</f>
        <v>83376.75</v>
      </c>
      <c r="M54" s="76">
        <v>78400</v>
      </c>
      <c r="N54" s="76">
        <v>75921</v>
      </c>
      <c r="O54" s="76">
        <v>72375.5</v>
      </c>
      <c r="P54" s="22"/>
      <c r="Q54" s="19"/>
      <c r="R54" s="437"/>
      <c r="S54" s="19"/>
      <c r="T54" s="19"/>
      <c r="U54" s="18"/>
      <c r="V54" s="18"/>
      <c r="W54" s="18"/>
      <c r="X54" s="18"/>
      <c r="Y54" s="19"/>
      <c r="Z54" s="18"/>
      <c r="AA54" s="19"/>
      <c r="AB54" s="18"/>
      <c r="AC54" s="18"/>
    </row>
    <row r="55" spans="1:29" ht="15.75" customHeight="1">
      <c r="A55" s="71">
        <v>0.70364000000000004</v>
      </c>
      <c r="B55" s="72" t="s">
        <v>107</v>
      </c>
      <c r="C55" s="67">
        <f>C14</f>
        <v>520800.00000000006</v>
      </c>
      <c r="D55" s="67">
        <f>D14</f>
        <v>474300.00000000006</v>
      </c>
      <c r="E55" s="67">
        <v>181500</v>
      </c>
      <c r="F55" s="67">
        <v>181500</v>
      </c>
      <c r="G55" s="67">
        <v>174660</v>
      </c>
      <c r="H55" s="67">
        <v>170030</v>
      </c>
      <c r="I55" s="67">
        <f t="shared" si="11"/>
        <v>292800.00000000006</v>
      </c>
      <c r="J55" s="73">
        <f t="shared" si="12"/>
        <v>1.6132231404958681</v>
      </c>
      <c r="K55" s="74">
        <v>187966.0704823815</v>
      </c>
      <c r="L55" s="74">
        <f>L14</f>
        <v>179222.65</v>
      </c>
      <c r="M55" s="76">
        <v>170030</v>
      </c>
      <c r="N55" s="76">
        <v>166888</v>
      </c>
      <c r="O55" s="76">
        <v>156588.29999999999</v>
      </c>
      <c r="P55" s="22"/>
      <c r="Q55" s="19"/>
      <c r="R55" s="437"/>
      <c r="S55" s="19"/>
      <c r="T55" s="19"/>
      <c r="U55" s="18"/>
      <c r="V55" s="18"/>
      <c r="W55" s="18"/>
      <c r="X55" s="18"/>
      <c r="Y55" s="19"/>
      <c r="Z55" s="18"/>
      <c r="AA55" s="19"/>
      <c r="AB55" s="18"/>
      <c r="AC55" s="18"/>
    </row>
    <row r="56" spans="1:29" ht="15.75" customHeight="1">
      <c r="A56" s="71">
        <v>0.70364000000000004</v>
      </c>
      <c r="B56" s="72" t="s">
        <v>108</v>
      </c>
      <c r="C56" s="67">
        <f>C11</f>
        <v>672000</v>
      </c>
      <c r="D56" s="67">
        <f>D11</f>
        <v>612000</v>
      </c>
      <c r="E56" s="67">
        <v>600000</v>
      </c>
      <c r="F56" s="67">
        <v>600000</v>
      </c>
      <c r="G56" s="67">
        <v>590400</v>
      </c>
      <c r="H56" s="67">
        <v>588000</v>
      </c>
      <c r="I56" s="67">
        <f t="shared" si="11"/>
        <v>12000</v>
      </c>
      <c r="J56" s="73">
        <f t="shared" si="12"/>
        <v>0.02</v>
      </c>
      <c r="K56" s="74">
        <v>610662</v>
      </c>
      <c r="L56" s="74">
        <f>L11</f>
        <v>604596</v>
      </c>
      <c r="M56" s="76">
        <v>588000</v>
      </c>
      <c r="N56" s="76">
        <v>584018</v>
      </c>
      <c r="O56" s="76">
        <v>559244</v>
      </c>
      <c r="P56" s="22"/>
      <c r="Q56" s="19"/>
      <c r="R56" s="437"/>
      <c r="S56" s="19"/>
      <c r="T56" s="19"/>
      <c r="U56" s="18"/>
      <c r="V56" s="18"/>
      <c r="W56" s="18"/>
      <c r="X56" s="18"/>
      <c r="Y56" s="19"/>
      <c r="Z56" s="18"/>
      <c r="AA56" s="19"/>
      <c r="AB56" s="18"/>
      <c r="AC56" s="18"/>
    </row>
    <row r="57" spans="1:29" ht="15.75" customHeight="1">
      <c r="A57" s="71">
        <v>0.70364000000000004</v>
      </c>
      <c r="B57" s="72" t="s">
        <v>109</v>
      </c>
      <c r="C57" s="67">
        <f>5000</f>
        <v>5000</v>
      </c>
      <c r="D57" s="67">
        <f>5000</f>
        <v>5000</v>
      </c>
      <c r="E57" s="67">
        <v>5000</v>
      </c>
      <c r="F57" s="67">
        <v>5000</v>
      </c>
      <c r="G57" s="67">
        <v>5000</v>
      </c>
      <c r="H57" s="67">
        <v>5000</v>
      </c>
      <c r="I57" s="67">
        <f t="shared" si="11"/>
        <v>0</v>
      </c>
      <c r="J57" s="73">
        <f t="shared" si="12"/>
        <v>0</v>
      </c>
      <c r="K57" s="74">
        <f>L57</f>
        <v>5000</v>
      </c>
      <c r="L57" s="74">
        <f>M57</f>
        <v>5000</v>
      </c>
      <c r="M57" s="76">
        <v>5000</v>
      </c>
      <c r="N57" s="76">
        <v>5000</v>
      </c>
      <c r="O57" s="76">
        <v>5000</v>
      </c>
      <c r="P57" s="22"/>
      <c r="Q57" s="19"/>
      <c r="R57" s="437"/>
      <c r="S57" s="19"/>
      <c r="T57" s="19"/>
      <c r="U57" s="18"/>
      <c r="V57" s="18"/>
      <c r="W57" s="18"/>
      <c r="X57" s="18"/>
      <c r="Y57" s="19"/>
      <c r="Z57" s="18"/>
      <c r="AA57" s="19"/>
      <c r="AB57" s="18"/>
      <c r="AC57" s="18"/>
    </row>
    <row r="58" spans="1:29" ht="15.75" customHeight="1">
      <c r="A58" s="71">
        <v>0.70364000000000004</v>
      </c>
      <c r="B58" s="72" t="s">
        <v>110</v>
      </c>
      <c r="C58" s="67">
        <f>C24</f>
        <v>56000</v>
      </c>
      <c r="D58" s="67">
        <f>D24</f>
        <v>51000</v>
      </c>
      <c r="E58" s="67">
        <v>50000</v>
      </c>
      <c r="F58" s="67">
        <v>50000</v>
      </c>
      <c r="G58" s="67">
        <v>49200</v>
      </c>
      <c r="H58" s="67">
        <v>49000</v>
      </c>
      <c r="I58" s="67">
        <f t="shared" si="11"/>
        <v>1000</v>
      </c>
      <c r="J58" s="73">
        <f t="shared" si="12"/>
        <v>0.02</v>
      </c>
      <c r="K58" s="74">
        <v>51533</v>
      </c>
      <c r="L58" s="74">
        <f>L24</f>
        <v>51066</v>
      </c>
      <c r="M58" s="76">
        <v>49000</v>
      </c>
      <c r="N58" s="76">
        <v>49231</v>
      </c>
      <c r="O58" s="76">
        <v>46603.7</v>
      </c>
      <c r="P58" s="22"/>
      <c r="Q58" s="19"/>
      <c r="R58" s="437"/>
      <c r="S58" s="19"/>
      <c r="T58" s="19"/>
      <c r="U58" s="18"/>
      <c r="V58" s="18"/>
      <c r="W58" s="18"/>
      <c r="X58" s="18"/>
      <c r="Y58" s="19"/>
      <c r="Z58" s="18"/>
      <c r="AA58" s="19"/>
      <c r="AB58" s="18"/>
      <c r="AC58" s="18"/>
    </row>
    <row r="59" spans="1:29" ht="15.75" customHeight="1">
      <c r="A59" s="71">
        <v>0.70364000000000004</v>
      </c>
      <c r="B59" s="72" t="s">
        <v>38</v>
      </c>
      <c r="C59" s="67">
        <f>C15</f>
        <v>5600000</v>
      </c>
      <c r="D59" s="67">
        <f>D15</f>
        <v>5100000</v>
      </c>
      <c r="E59" s="67">
        <v>5000000</v>
      </c>
      <c r="F59" s="67">
        <v>5000000</v>
      </c>
      <c r="G59" s="67">
        <v>4900000</v>
      </c>
      <c r="H59" s="67">
        <v>4900000</v>
      </c>
      <c r="I59" s="67">
        <f t="shared" si="11"/>
        <v>100000</v>
      </c>
      <c r="J59" s="73">
        <f t="shared" si="12"/>
        <v>0.02</v>
      </c>
      <c r="K59" s="74">
        <v>5055221.72</v>
      </c>
      <c r="L59" s="74">
        <f>L15</f>
        <v>4969379.88</v>
      </c>
      <c r="M59" s="76">
        <v>4900000</v>
      </c>
      <c r="N59" s="76">
        <v>4378833</v>
      </c>
      <c r="O59" s="76">
        <v>3728293.3</v>
      </c>
      <c r="P59" s="22"/>
      <c r="Q59" s="19"/>
      <c r="R59" s="437"/>
      <c r="S59" s="19"/>
      <c r="T59" s="19"/>
      <c r="U59" s="18"/>
      <c r="V59" s="18"/>
      <c r="W59" s="18"/>
      <c r="X59" s="18"/>
      <c r="Y59" s="19"/>
      <c r="Z59" s="18"/>
      <c r="AA59" s="19"/>
      <c r="AB59" s="18"/>
      <c r="AC59" s="18"/>
    </row>
    <row r="60" spans="1:29" ht="15.75" customHeight="1">
      <c r="A60" s="71">
        <v>0.70364000000000004</v>
      </c>
      <c r="B60" s="72" t="s">
        <v>111</v>
      </c>
      <c r="C60" s="67">
        <f>C18</f>
        <v>144930.23999999999</v>
      </c>
      <c r="D60" s="67">
        <f>D18</f>
        <v>131990.04</v>
      </c>
      <c r="E60" s="67">
        <v>126000</v>
      </c>
      <c r="F60" s="67">
        <v>126000</v>
      </c>
      <c r="G60" s="67">
        <v>121032</v>
      </c>
      <c r="H60" s="67">
        <v>117600</v>
      </c>
      <c r="I60" s="67">
        <f t="shared" si="11"/>
        <v>5990.0400000000081</v>
      </c>
      <c r="J60" s="73">
        <f t="shared" si="12"/>
        <v>4.7540000000000061E-2</v>
      </c>
      <c r="K60" s="74">
        <v>130488.8423183475</v>
      </c>
      <c r="L60" s="74">
        <f>L18</f>
        <v>124198.29</v>
      </c>
      <c r="M60" s="76">
        <v>117600</v>
      </c>
      <c r="N60" s="76">
        <v>114368</v>
      </c>
      <c r="O60" s="76">
        <v>108539.9</v>
      </c>
      <c r="P60" s="22"/>
      <c r="Q60" s="19"/>
      <c r="R60" s="437"/>
      <c r="S60" s="19"/>
      <c r="T60" s="19"/>
      <c r="U60" s="18"/>
      <c r="V60" s="18"/>
      <c r="W60" s="18"/>
      <c r="X60" s="18"/>
      <c r="Y60" s="19"/>
      <c r="Z60" s="18"/>
      <c r="AA60" s="19"/>
      <c r="AB60" s="18"/>
      <c r="AC60" s="18"/>
    </row>
    <row r="61" spans="1:29" ht="15.75" customHeight="1">
      <c r="A61" s="71">
        <v>0.70364000000000004</v>
      </c>
      <c r="B61" s="72" t="s">
        <v>112</v>
      </c>
      <c r="C61" s="67">
        <f>C19</f>
        <v>16103.359999999999</v>
      </c>
      <c r="D61" s="67">
        <f>D19</f>
        <v>14665.56</v>
      </c>
      <c r="E61" s="67">
        <v>14000</v>
      </c>
      <c r="F61" s="67">
        <v>14000</v>
      </c>
      <c r="G61" s="67">
        <v>13284</v>
      </c>
      <c r="H61" s="67">
        <v>12838</v>
      </c>
      <c r="I61" s="67">
        <f t="shared" si="11"/>
        <v>665.55999999999949</v>
      </c>
      <c r="J61" s="73">
        <f t="shared" si="12"/>
        <v>4.7539999999999964E-2</v>
      </c>
      <c r="K61" s="74">
        <v>14279.56</v>
      </c>
      <c r="L61" s="74">
        <f>L19</f>
        <v>13629.71</v>
      </c>
      <c r="M61" s="76">
        <v>12838</v>
      </c>
      <c r="N61" s="76">
        <v>12654</v>
      </c>
      <c r="O61" s="76">
        <v>12070.3</v>
      </c>
      <c r="P61" s="22"/>
      <c r="Q61" s="19"/>
      <c r="R61" s="437"/>
      <c r="S61" s="19"/>
      <c r="T61" s="19"/>
      <c r="U61" s="18"/>
      <c r="V61" s="18"/>
      <c r="W61" s="18"/>
      <c r="X61" s="18"/>
      <c r="Y61" s="19"/>
      <c r="Z61" s="18"/>
      <c r="AA61" s="19"/>
      <c r="AB61" s="18"/>
      <c r="AC61" s="18"/>
    </row>
    <row r="62" spans="1:29" ht="15.75" customHeight="1">
      <c r="A62" s="71">
        <v>0.70364000000000004</v>
      </c>
      <c r="B62" s="72" t="s">
        <v>113</v>
      </c>
      <c r="C62" s="67">
        <f>C22</f>
        <v>64399.999999999993</v>
      </c>
      <c r="D62" s="67">
        <f>D22</f>
        <v>58649.999999999993</v>
      </c>
      <c r="E62" s="67">
        <v>56000</v>
      </c>
      <c r="F62" s="67">
        <v>56000</v>
      </c>
      <c r="G62" s="67">
        <v>53628</v>
      </c>
      <c r="H62" s="67">
        <v>52430</v>
      </c>
      <c r="I62" s="67">
        <f t="shared" si="11"/>
        <v>2649.9999999999927</v>
      </c>
      <c r="J62" s="73">
        <f t="shared" si="12"/>
        <v>4.7321428571428445E-2</v>
      </c>
      <c r="K62" s="74">
        <v>57106.62</v>
      </c>
      <c r="L62" s="74">
        <f>L22</f>
        <v>55040.13</v>
      </c>
      <c r="M62" s="76">
        <v>52430</v>
      </c>
      <c r="N62" s="76">
        <v>51691</v>
      </c>
      <c r="O62" s="76">
        <v>48234.8</v>
      </c>
      <c r="P62" s="22"/>
      <c r="Q62" s="19"/>
      <c r="R62" s="437"/>
      <c r="S62" s="19"/>
      <c r="T62" s="19"/>
      <c r="U62" s="18"/>
      <c r="V62" s="18"/>
      <c r="W62" s="18"/>
      <c r="X62" s="18"/>
      <c r="Y62" s="19"/>
      <c r="Z62" s="18"/>
      <c r="AA62" s="19"/>
      <c r="AB62" s="18"/>
      <c r="AC62" s="18"/>
    </row>
    <row r="63" spans="1:29" ht="15.75" customHeight="1">
      <c r="A63" s="71">
        <v>0.70364000000000004</v>
      </c>
      <c r="B63" s="72" t="s">
        <v>66</v>
      </c>
      <c r="C63" s="67">
        <f>C29</f>
        <v>19600</v>
      </c>
      <c r="D63" s="67">
        <f>D29</f>
        <v>17850</v>
      </c>
      <c r="E63" s="67"/>
      <c r="F63" s="67"/>
      <c r="G63" s="67"/>
      <c r="H63" s="67"/>
      <c r="I63" s="67">
        <f t="shared" si="11"/>
        <v>17850</v>
      </c>
      <c r="J63" s="104" t="e">
        <f t="shared" si="12"/>
        <v>#DIV/0!</v>
      </c>
      <c r="K63" s="74">
        <v>17683.75</v>
      </c>
      <c r="L63" s="74"/>
      <c r="M63" s="76"/>
      <c r="N63" s="76"/>
      <c r="O63" s="76"/>
      <c r="P63" s="22"/>
      <c r="Q63" s="19"/>
      <c r="R63" s="437"/>
      <c r="S63" s="19"/>
      <c r="T63" s="19"/>
      <c r="U63" s="18"/>
      <c r="V63" s="18"/>
      <c r="W63" s="18"/>
      <c r="X63" s="18"/>
      <c r="Y63" s="19"/>
      <c r="Z63" s="18"/>
      <c r="AA63" s="19"/>
      <c r="AB63" s="18"/>
      <c r="AC63" s="18"/>
    </row>
    <row r="64" spans="1:29" ht="15.75" customHeight="1">
      <c r="A64" s="97">
        <v>0.70364000000000004</v>
      </c>
      <c r="B64" s="99" t="s">
        <v>68</v>
      </c>
      <c r="C64" s="67">
        <f>C30</f>
        <v>53200</v>
      </c>
      <c r="D64" s="67">
        <f>D30</f>
        <v>48450</v>
      </c>
      <c r="E64" s="67"/>
      <c r="F64" s="67"/>
      <c r="G64" s="67"/>
      <c r="H64" s="67"/>
      <c r="I64" s="67">
        <f t="shared" si="11"/>
        <v>48450</v>
      </c>
      <c r="J64" s="104" t="e">
        <f t="shared" si="12"/>
        <v>#DIV/0!</v>
      </c>
      <c r="K64" s="74"/>
      <c r="L64" s="74"/>
      <c r="M64" s="76"/>
      <c r="N64" s="76"/>
      <c r="O64" s="76"/>
      <c r="P64" s="22"/>
      <c r="Q64" s="19"/>
      <c r="R64" s="437"/>
      <c r="S64" s="19"/>
      <c r="T64" s="19"/>
      <c r="U64" s="18"/>
      <c r="V64" s="18"/>
      <c r="W64" s="18"/>
      <c r="X64" s="18"/>
      <c r="Y64" s="19"/>
      <c r="Z64" s="18"/>
      <c r="AA64" s="19"/>
      <c r="AB64" s="18"/>
      <c r="AC64" s="18"/>
    </row>
    <row r="65" spans="1:29" ht="15.75" customHeight="1">
      <c r="A65" s="97"/>
      <c r="B65" s="99" t="s">
        <v>70</v>
      </c>
      <c r="C65" s="67">
        <f>C31</f>
        <v>53200</v>
      </c>
      <c r="D65" s="67">
        <f>D31</f>
        <v>48450</v>
      </c>
      <c r="E65" s="67"/>
      <c r="F65" s="67"/>
      <c r="G65" s="67"/>
      <c r="H65" s="67"/>
      <c r="I65" s="67">
        <f t="shared" si="11"/>
        <v>48450</v>
      </c>
      <c r="J65" s="104" t="e">
        <f t="shared" si="12"/>
        <v>#DIV/0!</v>
      </c>
      <c r="K65" s="74"/>
      <c r="L65" s="74"/>
      <c r="M65" s="76"/>
      <c r="N65" s="76"/>
      <c r="O65" s="76"/>
      <c r="P65" s="22"/>
      <c r="Q65" s="19"/>
      <c r="R65" s="437"/>
      <c r="S65" s="19"/>
      <c r="T65" s="19"/>
      <c r="U65" s="18"/>
      <c r="V65" s="18"/>
      <c r="W65" s="18"/>
      <c r="X65" s="18"/>
      <c r="Y65" s="19"/>
      <c r="Z65" s="18"/>
      <c r="AA65" s="19"/>
      <c r="AB65" s="18"/>
      <c r="AC65" s="18"/>
    </row>
    <row r="66" spans="1:29" ht="15.75" customHeight="1">
      <c r="A66" s="97"/>
      <c r="B66" s="99" t="s">
        <v>114</v>
      </c>
      <c r="C66" s="67">
        <f>C25</f>
        <v>126000</v>
      </c>
      <c r="D66" s="67">
        <f>D25</f>
        <v>114750</v>
      </c>
      <c r="E66" s="67">
        <v>100000</v>
      </c>
      <c r="F66" s="67">
        <v>100000</v>
      </c>
      <c r="G66" s="67">
        <v>86100</v>
      </c>
      <c r="H66" s="67">
        <v>73500</v>
      </c>
      <c r="I66" s="67">
        <f t="shared" si="11"/>
        <v>14750</v>
      </c>
      <c r="J66" s="73">
        <f t="shared" si="12"/>
        <v>0.14749999999999999</v>
      </c>
      <c r="K66" s="74">
        <v>102341.25</v>
      </c>
      <c r="L66" s="74">
        <f>L25</f>
        <v>88622</v>
      </c>
      <c r="M66" s="76">
        <v>73500</v>
      </c>
      <c r="N66" s="76">
        <v>0</v>
      </c>
      <c r="O66" s="84" t="s">
        <v>44</v>
      </c>
      <c r="P66" s="22"/>
      <c r="Q66" s="19"/>
      <c r="R66" s="437"/>
      <c r="S66" s="19"/>
      <c r="T66" s="19"/>
      <c r="U66" s="18"/>
      <c r="V66" s="18"/>
      <c r="W66" s="18"/>
      <c r="X66" s="18"/>
      <c r="Y66" s="19"/>
      <c r="Z66" s="18"/>
      <c r="AA66" s="19"/>
      <c r="AB66" s="18"/>
      <c r="AC66" s="18"/>
    </row>
    <row r="67" spans="1:29" ht="15.75" customHeight="1">
      <c r="A67" s="71"/>
      <c r="B67" s="72" t="s">
        <v>49</v>
      </c>
      <c r="C67" s="67">
        <f>C20</f>
        <v>61537.84</v>
      </c>
      <c r="D67" s="67">
        <f>D20</f>
        <v>56043.39</v>
      </c>
      <c r="E67" s="67">
        <v>53500</v>
      </c>
      <c r="F67" s="67">
        <v>53500</v>
      </c>
      <c r="G67" s="67">
        <v>52152</v>
      </c>
      <c r="H67" s="67">
        <v>50470</v>
      </c>
      <c r="I67" s="67">
        <f t="shared" si="11"/>
        <v>2543.3899999999994</v>
      </c>
      <c r="J67" s="73">
        <f t="shared" si="12"/>
        <v>4.7539999999999992E-2</v>
      </c>
      <c r="K67" s="74">
        <v>55021.11</v>
      </c>
      <c r="L67" s="74">
        <f>L20</f>
        <v>53498.34</v>
      </c>
      <c r="M67" s="76">
        <v>50470</v>
      </c>
      <c r="N67" s="76">
        <v>48677</v>
      </c>
      <c r="O67" s="76">
        <v>46603.7</v>
      </c>
      <c r="P67" s="22"/>
      <c r="Q67" s="19"/>
      <c r="R67" s="437"/>
      <c r="S67" s="19"/>
      <c r="T67" s="19"/>
      <c r="U67" s="18"/>
      <c r="V67" s="18"/>
      <c r="W67" s="18"/>
      <c r="X67" s="18"/>
      <c r="Y67" s="19"/>
      <c r="Z67" s="18"/>
      <c r="AA67" s="19"/>
      <c r="AB67" s="18"/>
      <c r="AC67" s="18"/>
    </row>
    <row r="68" spans="1:29" ht="15.75" customHeight="1">
      <c r="A68" s="71">
        <v>0.70364000000000004</v>
      </c>
      <c r="B68" s="72" t="s">
        <v>115</v>
      </c>
      <c r="C68" s="67">
        <v>5000</v>
      </c>
      <c r="D68" s="67">
        <v>5000</v>
      </c>
      <c r="E68" s="67">
        <v>5000</v>
      </c>
      <c r="F68" s="67">
        <v>5000</v>
      </c>
      <c r="G68" s="67">
        <v>5000</v>
      </c>
      <c r="H68" s="67">
        <v>5000</v>
      </c>
      <c r="I68" s="67">
        <f t="shared" si="11"/>
        <v>0</v>
      </c>
      <c r="J68" s="73">
        <f t="shared" si="12"/>
        <v>0</v>
      </c>
      <c r="K68" s="74">
        <f>L68</f>
        <v>5000</v>
      </c>
      <c r="L68" s="74">
        <f>M68</f>
        <v>5000</v>
      </c>
      <c r="M68" s="76">
        <v>5000</v>
      </c>
      <c r="N68" s="76">
        <v>5000</v>
      </c>
      <c r="O68" s="76">
        <v>5000</v>
      </c>
      <c r="P68" s="22"/>
      <c r="Q68" s="19"/>
      <c r="R68" s="437"/>
      <c r="S68" s="19"/>
      <c r="T68" s="19"/>
      <c r="U68" s="18"/>
      <c r="V68" s="18"/>
      <c r="W68" s="18"/>
      <c r="X68" s="18"/>
      <c r="Y68" s="19"/>
      <c r="Z68" s="18"/>
      <c r="AA68" s="19"/>
      <c r="AB68" s="18"/>
      <c r="AC68" s="18"/>
    </row>
    <row r="69" spans="1:29" ht="15.75" customHeight="1">
      <c r="A69" s="71">
        <v>0.70364000000000004</v>
      </c>
      <c r="B69" s="72" t="s">
        <v>116</v>
      </c>
      <c r="C69" s="67">
        <v>5000</v>
      </c>
      <c r="D69" s="67">
        <v>5000</v>
      </c>
      <c r="E69" s="67">
        <v>5000</v>
      </c>
      <c r="F69" s="67">
        <v>5000</v>
      </c>
      <c r="G69" s="67">
        <v>5000</v>
      </c>
      <c r="H69" s="67">
        <v>13205</v>
      </c>
      <c r="I69" s="67">
        <f t="shared" si="11"/>
        <v>0</v>
      </c>
      <c r="J69" s="73">
        <f t="shared" si="12"/>
        <v>0</v>
      </c>
      <c r="K69" s="74">
        <v>5000</v>
      </c>
      <c r="L69" s="74">
        <v>5000</v>
      </c>
      <c r="M69" s="76">
        <v>13205</v>
      </c>
      <c r="N69" s="76">
        <v>5000</v>
      </c>
      <c r="O69" s="76">
        <v>5000</v>
      </c>
      <c r="P69" s="22"/>
      <c r="Q69" s="19"/>
      <c r="R69" s="437"/>
      <c r="S69" s="19"/>
      <c r="T69" s="19"/>
      <c r="U69" s="18"/>
      <c r="V69" s="18"/>
      <c r="W69" s="18"/>
      <c r="X69" s="18"/>
      <c r="Y69" s="19"/>
      <c r="Z69" s="18"/>
      <c r="AA69" s="19"/>
      <c r="AB69" s="18"/>
      <c r="AC69" s="18"/>
    </row>
    <row r="70" spans="1:29" ht="15.75" customHeight="1">
      <c r="A70" s="2"/>
      <c r="B70" s="85" t="s">
        <v>117</v>
      </c>
      <c r="C70" s="87">
        <v>5000</v>
      </c>
      <c r="D70" s="87">
        <v>5000</v>
      </c>
      <c r="E70" s="87">
        <v>5000</v>
      </c>
      <c r="F70" s="87">
        <v>5000</v>
      </c>
      <c r="G70" s="87">
        <v>5000</v>
      </c>
      <c r="H70" s="87">
        <v>5000</v>
      </c>
      <c r="I70" s="87">
        <f t="shared" si="11"/>
        <v>0</v>
      </c>
      <c r="J70" s="88">
        <f t="shared" si="12"/>
        <v>0</v>
      </c>
      <c r="K70" s="89">
        <v>5000</v>
      </c>
      <c r="L70" s="89">
        <v>5000</v>
      </c>
      <c r="M70" s="120">
        <v>5000</v>
      </c>
      <c r="N70" s="120">
        <v>5000</v>
      </c>
      <c r="O70" s="120">
        <v>5000</v>
      </c>
      <c r="P70" s="22"/>
      <c r="Q70" s="19"/>
      <c r="R70" s="437"/>
      <c r="S70" s="19"/>
      <c r="T70" s="19"/>
      <c r="U70" s="18"/>
      <c r="V70" s="18"/>
      <c r="W70" s="18"/>
      <c r="X70" s="18"/>
      <c r="Y70" s="19"/>
      <c r="Z70" s="18"/>
      <c r="AA70" s="19"/>
      <c r="AB70" s="18"/>
      <c r="AC70" s="18"/>
    </row>
    <row r="71" spans="1:29" ht="15.75" customHeight="1">
      <c r="A71" s="2"/>
      <c r="B71" s="129" t="s">
        <v>118</v>
      </c>
      <c r="C71" s="130">
        <f>SUM(C42:C70)</f>
        <v>27161974.959999997</v>
      </c>
      <c r="D71" s="130">
        <f>SUM(D42:D70)</f>
        <v>20898475.110357139</v>
      </c>
      <c r="E71" s="130">
        <f>SUM(E42:E70)</f>
        <v>19709439.75</v>
      </c>
      <c r="F71" s="116">
        <f>SUM(F42:F70)</f>
        <v>19709439.75</v>
      </c>
      <c r="G71" s="116">
        <f>SUM(G42:G70)</f>
        <v>18586844</v>
      </c>
      <c r="H71" s="116">
        <f>SUM(H42:H70)</f>
        <v>18102856</v>
      </c>
      <c r="I71" s="130">
        <f t="shared" si="11"/>
        <v>1189035.3603571393</v>
      </c>
      <c r="J71" s="131">
        <f t="shared" si="12"/>
        <v>6.032821711013573E-2</v>
      </c>
      <c r="K71" s="130">
        <f>SUM(K42:K70)</f>
        <v>21460426.01055073</v>
      </c>
      <c r="L71" s="130">
        <f>SUM(L42:L70)</f>
        <v>20366168.931779999</v>
      </c>
      <c r="M71" s="119">
        <v>18102856</v>
      </c>
      <c r="N71" s="114">
        <v>17145646</v>
      </c>
      <c r="O71" s="114">
        <v>15806626.5</v>
      </c>
      <c r="P71" s="22"/>
      <c r="Q71" s="19"/>
      <c r="R71" s="437"/>
      <c r="S71" s="19"/>
      <c r="T71" s="19"/>
      <c r="U71" s="18"/>
      <c r="V71" s="18"/>
      <c r="W71" s="18"/>
      <c r="X71" s="18"/>
      <c r="Y71" s="19"/>
      <c r="Z71" s="18"/>
      <c r="AA71" s="19"/>
      <c r="AB71" s="18"/>
      <c r="AC71" s="18"/>
    </row>
    <row r="72" spans="1:29" ht="15.75" customHeight="1">
      <c r="A72" s="2"/>
      <c r="B72" s="96"/>
      <c r="C72" s="208"/>
      <c r="D72" s="39"/>
      <c r="E72" s="39"/>
      <c r="F72" s="38"/>
      <c r="G72" s="38"/>
      <c r="H72" s="38"/>
      <c r="I72" s="38"/>
      <c r="J72" s="39"/>
      <c r="K72" s="39"/>
      <c r="L72" s="39"/>
      <c r="M72" s="38"/>
      <c r="N72" s="59"/>
      <c r="O72" s="60"/>
      <c r="P72" s="22"/>
      <c r="Q72" s="19"/>
      <c r="R72" s="437"/>
      <c r="S72" s="19"/>
      <c r="T72" s="19"/>
      <c r="U72" s="18"/>
      <c r="V72" s="18"/>
      <c r="W72" s="18"/>
      <c r="X72" s="18"/>
      <c r="Y72" s="19"/>
      <c r="Z72" s="18"/>
      <c r="AA72" s="19"/>
      <c r="AB72" s="18"/>
      <c r="AC72" s="18"/>
    </row>
    <row r="73" spans="1:29" ht="15.75" customHeight="1">
      <c r="A73" s="2"/>
      <c r="B73" s="61" t="s">
        <v>119</v>
      </c>
      <c r="C73" s="483"/>
      <c r="D73" s="62"/>
      <c r="E73" s="62"/>
      <c r="F73" s="38"/>
      <c r="G73" s="38"/>
      <c r="H73" s="38"/>
      <c r="I73" s="38"/>
      <c r="J73" s="39"/>
      <c r="K73" s="39"/>
      <c r="L73" s="39"/>
      <c r="M73" s="38"/>
      <c r="N73" s="59"/>
      <c r="O73" s="60"/>
      <c r="P73" s="22"/>
      <c r="Q73" s="19"/>
      <c r="R73" s="437"/>
      <c r="S73" s="19"/>
      <c r="T73" s="19"/>
      <c r="U73" s="18"/>
      <c r="V73" s="18"/>
      <c r="W73" s="18"/>
      <c r="X73" s="18"/>
      <c r="Y73" s="19"/>
      <c r="Z73" s="18"/>
      <c r="AA73" s="19"/>
      <c r="AB73" s="18"/>
      <c r="AC73" s="18"/>
    </row>
    <row r="74" spans="1:29" ht="15.75" customHeight="1">
      <c r="A74" s="2"/>
      <c r="B74" s="64" t="s">
        <v>107</v>
      </c>
      <c r="C74" s="65">
        <v>415018</v>
      </c>
      <c r="D74" s="65">
        <f>'Student Services'!E91</f>
        <v>415018</v>
      </c>
      <c r="E74" s="65">
        <v>276948</v>
      </c>
      <c r="F74" s="65">
        <v>276948</v>
      </c>
      <c r="G74" s="65">
        <v>276948</v>
      </c>
      <c r="H74" s="65">
        <v>146450</v>
      </c>
      <c r="I74" s="65">
        <f t="shared" ref="I74:I88" si="15">-(E74-D74)</f>
        <v>138070</v>
      </c>
      <c r="J74" s="66">
        <f t="shared" ref="J74:J88" si="16">I74/E74</f>
        <v>0.49854124239929515</v>
      </c>
      <c r="K74" s="68"/>
      <c r="L74" s="68">
        <v>295057</v>
      </c>
      <c r="M74" s="70">
        <v>146450</v>
      </c>
      <c r="N74" s="70">
        <v>156422</v>
      </c>
      <c r="O74" s="70">
        <v>130641.60000000001</v>
      </c>
      <c r="P74" s="22"/>
      <c r="Q74" s="19"/>
      <c r="R74" s="437"/>
      <c r="S74" s="19"/>
      <c r="T74" s="19"/>
      <c r="U74" s="18"/>
      <c r="V74" s="18"/>
      <c r="W74" s="18"/>
      <c r="X74" s="18"/>
      <c r="Y74" s="19"/>
      <c r="Z74" s="18"/>
      <c r="AA74" s="19"/>
      <c r="AB74" s="18"/>
      <c r="AC74" s="18"/>
    </row>
    <row r="75" spans="1:29" ht="15.75" customHeight="1">
      <c r="A75" s="2"/>
      <c r="B75" s="72" t="s">
        <v>120</v>
      </c>
      <c r="C75" s="67">
        <v>0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f t="shared" si="15"/>
        <v>0</v>
      </c>
      <c r="J75" s="104" t="e">
        <f t="shared" si="16"/>
        <v>#DIV/0!</v>
      </c>
      <c r="K75" s="74">
        <v>0</v>
      </c>
      <c r="L75" s="74"/>
      <c r="M75" s="76">
        <v>0</v>
      </c>
      <c r="N75" s="76">
        <v>0</v>
      </c>
      <c r="O75" s="84" t="s">
        <v>44</v>
      </c>
      <c r="P75" s="22"/>
      <c r="Q75" s="19"/>
      <c r="R75" s="437"/>
      <c r="S75" s="19"/>
      <c r="T75" s="19"/>
      <c r="U75" s="18"/>
      <c r="V75" s="18"/>
      <c r="W75" s="18"/>
      <c r="X75" s="18"/>
      <c r="Y75" s="19"/>
      <c r="Z75" s="18"/>
      <c r="AA75" s="19"/>
      <c r="AB75" s="18"/>
      <c r="AC75" s="18"/>
    </row>
    <row r="76" spans="1:29" ht="15.75" customHeight="1">
      <c r="A76" s="138" t="s">
        <v>121</v>
      </c>
      <c r="B76" s="72" t="s">
        <v>122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f t="shared" si="15"/>
        <v>0</v>
      </c>
      <c r="J76" s="104" t="e">
        <f t="shared" si="16"/>
        <v>#DIV/0!</v>
      </c>
      <c r="K76" s="74"/>
      <c r="L76" s="74"/>
      <c r="M76" s="76">
        <v>0</v>
      </c>
      <c r="N76" s="76">
        <v>69078</v>
      </c>
      <c r="O76" s="76">
        <v>26078</v>
      </c>
      <c r="P76" s="22"/>
      <c r="Q76" s="19"/>
      <c r="R76" s="437"/>
      <c r="S76" s="19"/>
      <c r="T76" s="19"/>
      <c r="U76" s="18"/>
      <c r="V76" s="18"/>
      <c r="W76" s="18"/>
      <c r="X76" s="18"/>
      <c r="Y76" s="19"/>
      <c r="Z76" s="18"/>
      <c r="AA76" s="19"/>
      <c r="AB76" s="18"/>
      <c r="AC76" s="18"/>
    </row>
    <row r="77" spans="1:29" ht="15.75" customHeight="1">
      <c r="A77" s="2"/>
      <c r="B77" s="72" t="s">
        <v>97</v>
      </c>
      <c r="C77" s="67">
        <v>0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f t="shared" si="15"/>
        <v>0</v>
      </c>
      <c r="J77" s="104" t="e">
        <f t="shared" si="16"/>
        <v>#DIV/0!</v>
      </c>
      <c r="K77" s="74"/>
      <c r="L77" s="74"/>
      <c r="M77" s="76">
        <v>0</v>
      </c>
      <c r="N77" s="76">
        <v>26093</v>
      </c>
      <c r="O77" s="84" t="s">
        <v>44</v>
      </c>
      <c r="P77" s="22"/>
      <c r="Q77" s="19"/>
      <c r="R77" s="437"/>
      <c r="S77" s="19"/>
      <c r="T77" s="19"/>
      <c r="U77" s="18"/>
      <c r="V77" s="18"/>
      <c r="W77" s="18"/>
      <c r="X77" s="18"/>
      <c r="Y77" s="19"/>
      <c r="Z77" s="18"/>
      <c r="AA77" s="19"/>
      <c r="AB77" s="18"/>
      <c r="AC77" s="18"/>
    </row>
    <row r="78" spans="1:29" ht="15.75" customHeight="1">
      <c r="A78" s="2"/>
      <c r="B78" s="72" t="s">
        <v>101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67">
        <v>0</v>
      </c>
      <c r="I78" s="67">
        <f t="shared" si="15"/>
        <v>0</v>
      </c>
      <c r="J78" s="104" t="e">
        <f t="shared" si="16"/>
        <v>#DIV/0!</v>
      </c>
      <c r="K78" s="74"/>
      <c r="L78" s="74"/>
      <c r="M78" s="76">
        <v>0</v>
      </c>
      <c r="N78" s="76">
        <v>0</v>
      </c>
      <c r="O78" s="84" t="s">
        <v>44</v>
      </c>
      <c r="P78" s="22"/>
      <c r="Q78" s="19"/>
      <c r="R78" s="437"/>
      <c r="S78" s="19"/>
      <c r="T78" s="19"/>
      <c r="U78" s="18"/>
      <c r="V78" s="18"/>
      <c r="W78" s="18"/>
      <c r="X78" s="18"/>
      <c r="Y78" s="19"/>
      <c r="Z78" s="18"/>
      <c r="AA78" s="19"/>
      <c r="AB78" s="18"/>
      <c r="AC78" s="18"/>
    </row>
    <row r="79" spans="1:29" ht="15.75" customHeight="1">
      <c r="A79" s="2"/>
      <c r="B79" s="72" t="s">
        <v>123</v>
      </c>
      <c r="C79" s="67">
        <v>0</v>
      </c>
      <c r="D79" s="67">
        <v>0</v>
      </c>
      <c r="E79" s="67">
        <v>0</v>
      </c>
      <c r="F79" s="67">
        <v>0</v>
      </c>
      <c r="G79" s="67">
        <v>0</v>
      </c>
      <c r="H79" s="67">
        <v>0</v>
      </c>
      <c r="I79" s="67">
        <f t="shared" si="15"/>
        <v>0</v>
      </c>
      <c r="J79" s="104" t="e">
        <f t="shared" si="16"/>
        <v>#DIV/0!</v>
      </c>
      <c r="K79" s="74"/>
      <c r="L79" s="74"/>
      <c r="M79" s="76">
        <v>0</v>
      </c>
      <c r="N79" s="76">
        <v>5228</v>
      </c>
      <c r="O79" s="76">
        <v>37650</v>
      </c>
      <c r="P79" s="22"/>
      <c r="Q79" s="19"/>
      <c r="R79" s="437"/>
      <c r="S79" s="19"/>
      <c r="T79" s="19"/>
      <c r="U79" s="18"/>
      <c r="V79" s="18"/>
      <c r="W79" s="18"/>
      <c r="X79" s="18"/>
      <c r="Y79" s="19"/>
      <c r="Z79" s="18"/>
      <c r="AA79" s="19"/>
      <c r="AB79" s="18"/>
      <c r="AC79" s="18"/>
    </row>
    <row r="80" spans="1:29" ht="15.75" customHeight="1">
      <c r="A80" s="2"/>
      <c r="B80" s="72" t="s">
        <v>124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f t="shared" si="15"/>
        <v>0</v>
      </c>
      <c r="J80" s="104" t="e">
        <f t="shared" si="16"/>
        <v>#DIV/0!</v>
      </c>
      <c r="K80" s="74"/>
      <c r="L80" s="74"/>
      <c r="M80" s="76">
        <v>0</v>
      </c>
      <c r="N80" s="76">
        <v>0</v>
      </c>
      <c r="O80" s="84" t="s">
        <v>44</v>
      </c>
      <c r="P80" s="22"/>
      <c r="Q80" s="19"/>
      <c r="R80" s="437"/>
      <c r="S80" s="19"/>
      <c r="T80" s="19"/>
      <c r="U80" s="18"/>
      <c r="V80" s="18"/>
      <c r="W80" s="18"/>
      <c r="X80" s="18"/>
      <c r="Y80" s="19"/>
      <c r="Z80" s="18"/>
      <c r="AA80" s="19"/>
      <c r="AB80" s="18"/>
      <c r="AC80" s="18"/>
    </row>
    <row r="81" spans="1:29" ht="15.75" customHeight="1">
      <c r="A81" s="2"/>
      <c r="B81" s="72" t="s">
        <v>125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f t="shared" si="15"/>
        <v>0</v>
      </c>
      <c r="J81" s="104" t="e">
        <f t="shared" si="16"/>
        <v>#DIV/0!</v>
      </c>
      <c r="K81" s="74"/>
      <c r="L81" s="74"/>
      <c r="M81" s="76">
        <v>0</v>
      </c>
      <c r="N81" s="76">
        <v>337931</v>
      </c>
      <c r="O81" s="76">
        <v>297949</v>
      </c>
      <c r="P81" s="22"/>
      <c r="Q81" s="19"/>
      <c r="R81" s="437"/>
      <c r="S81" s="19"/>
      <c r="T81" s="19"/>
      <c r="U81" s="18"/>
      <c r="V81" s="18"/>
      <c r="W81" s="18"/>
      <c r="X81" s="18"/>
      <c r="Y81" s="19"/>
      <c r="Z81" s="18"/>
      <c r="AA81" s="19"/>
      <c r="AB81" s="18"/>
      <c r="AC81" s="18"/>
    </row>
    <row r="82" spans="1:29" ht="15.75" customHeight="1">
      <c r="A82" s="2"/>
      <c r="B82" s="72" t="s">
        <v>111</v>
      </c>
      <c r="C82" s="67">
        <v>0</v>
      </c>
      <c r="D82" s="67">
        <v>0</v>
      </c>
      <c r="E82" s="67">
        <v>0</v>
      </c>
      <c r="F82" s="67">
        <v>0</v>
      </c>
      <c r="G82" s="67">
        <v>33346</v>
      </c>
      <c r="H82" s="67">
        <v>43106</v>
      </c>
      <c r="I82" s="67">
        <f t="shared" si="15"/>
        <v>0</v>
      </c>
      <c r="J82" s="104" t="e">
        <f t="shared" si="16"/>
        <v>#DIV/0!</v>
      </c>
      <c r="K82" s="74"/>
      <c r="L82" s="74">
        <v>33346</v>
      </c>
      <c r="M82" s="76">
        <v>43106</v>
      </c>
      <c r="N82" s="76">
        <v>39162</v>
      </c>
      <c r="O82" s="84" t="s">
        <v>44</v>
      </c>
      <c r="P82" s="22"/>
      <c r="Q82" s="19"/>
      <c r="R82" s="437"/>
      <c r="S82" s="19"/>
      <c r="T82" s="19"/>
      <c r="U82" s="18"/>
      <c r="V82" s="18"/>
      <c r="W82" s="18"/>
      <c r="X82" s="18"/>
      <c r="Y82" s="19"/>
      <c r="Z82" s="18"/>
      <c r="AA82" s="19"/>
      <c r="AB82" s="18"/>
      <c r="AC82" s="18"/>
    </row>
    <row r="83" spans="1:29" ht="15.75" customHeight="1">
      <c r="A83" s="2"/>
      <c r="B83" s="72" t="s">
        <v>126</v>
      </c>
      <c r="C83" s="67">
        <v>0</v>
      </c>
      <c r="D83" s="67">
        <v>0</v>
      </c>
      <c r="E83" s="67">
        <v>0</v>
      </c>
      <c r="F83" s="67">
        <v>0</v>
      </c>
      <c r="G83" s="67">
        <v>0</v>
      </c>
      <c r="H83" s="67">
        <v>0</v>
      </c>
      <c r="I83" s="67">
        <f t="shared" si="15"/>
        <v>0</v>
      </c>
      <c r="J83" s="104" t="e">
        <f t="shared" si="16"/>
        <v>#DIV/0!</v>
      </c>
      <c r="K83" s="74"/>
      <c r="L83" s="74"/>
      <c r="M83" s="76">
        <v>0</v>
      </c>
      <c r="N83" s="76">
        <v>3990</v>
      </c>
      <c r="O83" s="84" t="s">
        <v>44</v>
      </c>
      <c r="P83" s="22"/>
      <c r="Q83" s="19"/>
      <c r="R83" s="437"/>
      <c r="S83" s="19"/>
      <c r="T83" s="19"/>
      <c r="U83" s="18"/>
      <c r="V83" s="18"/>
      <c r="W83" s="18"/>
      <c r="X83" s="18"/>
      <c r="Y83" s="19"/>
      <c r="Z83" s="18"/>
      <c r="AA83" s="19"/>
      <c r="AB83" s="18"/>
      <c r="AC83" s="18"/>
    </row>
    <row r="84" spans="1:29" ht="15.75" customHeight="1">
      <c r="A84" s="2"/>
      <c r="B84" s="72" t="s">
        <v>96</v>
      </c>
      <c r="C84" s="67">
        <v>0</v>
      </c>
      <c r="D84" s="67">
        <v>0</v>
      </c>
      <c r="E84" s="67">
        <v>0</v>
      </c>
      <c r="F84" s="67">
        <v>0</v>
      </c>
      <c r="G84" s="67">
        <v>0</v>
      </c>
      <c r="H84" s="67">
        <v>0</v>
      </c>
      <c r="I84" s="67">
        <f t="shared" si="15"/>
        <v>0</v>
      </c>
      <c r="J84" s="104" t="e">
        <f t="shared" si="16"/>
        <v>#DIV/0!</v>
      </c>
      <c r="K84" s="74"/>
      <c r="L84" s="74"/>
      <c r="M84" s="76">
        <v>0</v>
      </c>
      <c r="N84" s="76">
        <v>0</v>
      </c>
      <c r="O84" s="76">
        <v>-1500</v>
      </c>
      <c r="P84" s="22"/>
      <c r="Q84" s="19"/>
      <c r="R84" s="437"/>
      <c r="S84" s="19"/>
      <c r="T84" s="19"/>
      <c r="U84" s="18"/>
      <c r="V84" s="18"/>
      <c r="W84" s="18"/>
      <c r="X84" s="18"/>
      <c r="Y84" s="19"/>
      <c r="Z84" s="18"/>
      <c r="AA84" s="19"/>
      <c r="AB84" s="18"/>
      <c r="AC84" s="18"/>
    </row>
    <row r="85" spans="1:29" ht="15.75" customHeight="1">
      <c r="A85" s="2"/>
      <c r="B85" s="72" t="s">
        <v>127</v>
      </c>
      <c r="C85" s="67">
        <v>0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f t="shared" si="15"/>
        <v>0</v>
      </c>
      <c r="J85" s="104" t="e">
        <f t="shared" si="16"/>
        <v>#DIV/0!</v>
      </c>
      <c r="K85" s="74"/>
      <c r="L85" s="74"/>
      <c r="M85" s="76">
        <v>0</v>
      </c>
      <c r="N85" s="76">
        <v>0</v>
      </c>
      <c r="O85" s="84" t="s">
        <v>44</v>
      </c>
      <c r="P85" s="139"/>
      <c r="Q85" s="140"/>
      <c r="R85" s="439"/>
      <c r="S85" s="140"/>
      <c r="T85" s="140"/>
      <c r="U85" s="141"/>
      <c r="V85" s="141"/>
      <c r="W85" s="141"/>
      <c r="X85" s="141"/>
      <c r="Y85" s="140"/>
      <c r="Z85" s="141"/>
      <c r="AA85" s="140"/>
      <c r="AB85" s="141"/>
      <c r="AC85" s="141"/>
    </row>
    <row r="86" spans="1:29" ht="15.75" customHeight="1">
      <c r="A86" s="2"/>
      <c r="B86" s="72" t="s">
        <v>128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67">
        <v>21196</v>
      </c>
      <c r="I86" s="67">
        <f t="shared" si="15"/>
        <v>0</v>
      </c>
      <c r="J86" s="104" t="e">
        <f t="shared" si="16"/>
        <v>#DIV/0!</v>
      </c>
      <c r="K86" s="74"/>
      <c r="L86" s="74"/>
      <c r="M86" s="76">
        <v>21196</v>
      </c>
      <c r="N86" s="134"/>
      <c r="O86" s="134"/>
      <c r="P86" s="142"/>
      <c r="Q86" s="143"/>
      <c r="R86" s="440"/>
      <c r="S86" s="143"/>
      <c r="T86" s="143"/>
      <c r="U86" s="144"/>
      <c r="V86" s="144"/>
      <c r="W86" s="144"/>
      <c r="X86" s="144"/>
      <c r="Y86" s="143"/>
      <c r="Z86" s="144"/>
      <c r="AA86" s="143"/>
      <c r="AB86" s="144"/>
      <c r="AC86" s="145"/>
    </row>
    <row r="87" spans="1:29" ht="15.75" customHeight="1">
      <c r="A87" s="2"/>
      <c r="B87" s="85" t="s">
        <v>41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f t="shared" si="15"/>
        <v>0</v>
      </c>
      <c r="J87" s="108" t="e">
        <f t="shared" si="16"/>
        <v>#DIV/0!</v>
      </c>
      <c r="K87" s="89"/>
      <c r="L87" s="89"/>
      <c r="M87" s="120">
        <v>0</v>
      </c>
      <c r="N87" s="120">
        <v>51325</v>
      </c>
      <c r="O87" s="90" t="s">
        <v>44</v>
      </c>
      <c r="P87" s="146"/>
      <c r="Q87" s="147"/>
      <c r="R87" s="147"/>
      <c r="S87" s="147"/>
      <c r="T87" s="147"/>
      <c r="U87" s="148"/>
      <c r="V87" s="148"/>
      <c r="W87" s="148"/>
      <c r="X87" s="148"/>
      <c r="Y87" s="147"/>
      <c r="Z87" s="148"/>
      <c r="AA87" s="147"/>
      <c r="AB87" s="148"/>
      <c r="AC87" s="148"/>
    </row>
    <row r="88" spans="1:29" ht="15.75" customHeight="1">
      <c r="A88" s="2"/>
      <c r="B88" s="129" t="s">
        <v>129</v>
      </c>
      <c r="C88" s="130">
        <f>SUM(C74:C87)</f>
        <v>415018</v>
      </c>
      <c r="D88" s="130">
        <f>SUM(D74:D87)</f>
        <v>415018</v>
      </c>
      <c r="E88" s="130">
        <f>SUM(E74:E87)</f>
        <v>276948</v>
      </c>
      <c r="F88" s="116">
        <f>SUM(F74:F87)</f>
        <v>276948</v>
      </c>
      <c r="G88" s="116">
        <f>SUM(G74:G87)</f>
        <v>310294</v>
      </c>
      <c r="H88" s="116">
        <f>SUM(H74:H87)</f>
        <v>210752</v>
      </c>
      <c r="I88" s="130">
        <f t="shared" si="15"/>
        <v>138070</v>
      </c>
      <c r="J88" s="131">
        <f t="shared" si="16"/>
        <v>0.49854124239929515</v>
      </c>
      <c r="K88" s="130"/>
      <c r="L88" s="130">
        <f>SUM(L74:L87)</f>
        <v>328403</v>
      </c>
      <c r="M88" s="116">
        <v>210752</v>
      </c>
      <c r="N88" s="119">
        <v>689229</v>
      </c>
      <c r="O88" s="114">
        <v>490818.6</v>
      </c>
      <c r="P88" s="22"/>
      <c r="Q88" s="19"/>
      <c r="R88" s="437"/>
      <c r="S88" s="19"/>
      <c r="T88" s="19"/>
      <c r="U88" s="18"/>
      <c r="V88" s="18"/>
      <c r="W88" s="18"/>
      <c r="X88" s="18"/>
      <c r="Y88" s="19"/>
      <c r="Z88" s="18"/>
      <c r="AA88" s="19"/>
      <c r="AB88" s="18"/>
      <c r="AC88" s="18"/>
    </row>
    <row r="89" spans="1:29" ht="15.75" customHeight="1">
      <c r="A89" s="2"/>
      <c r="B89" s="96"/>
      <c r="C89" s="39"/>
      <c r="D89" s="39"/>
      <c r="E89" s="39"/>
      <c r="F89" s="38"/>
      <c r="G89" s="38"/>
      <c r="H89" s="38"/>
      <c r="I89" s="39"/>
      <c r="J89" s="149"/>
      <c r="K89" s="39"/>
      <c r="L89" s="39"/>
      <c r="M89" s="38"/>
      <c r="N89" s="59"/>
      <c r="O89" s="60"/>
      <c r="P89" s="22"/>
      <c r="Q89" s="19"/>
      <c r="R89" s="437"/>
      <c r="S89" s="19"/>
      <c r="T89" s="19"/>
      <c r="U89" s="18"/>
      <c r="V89" s="18"/>
      <c r="W89" s="18"/>
      <c r="X89" s="18"/>
      <c r="Y89" s="19"/>
      <c r="Z89" s="18"/>
      <c r="AA89" s="19"/>
      <c r="AB89" s="18"/>
      <c r="AC89" s="18"/>
    </row>
    <row r="90" spans="1:29" ht="15.75" customHeight="1">
      <c r="A90" s="2"/>
      <c r="B90" s="129" t="s">
        <v>130</v>
      </c>
      <c r="C90" s="150">
        <f>C32+C39-C71</f>
        <v>3181894.382637579</v>
      </c>
      <c r="D90" s="150">
        <f>D32+D39-D71</f>
        <v>2670589.132637579</v>
      </c>
      <c r="E90" s="150">
        <f>E32+E39-E71</f>
        <v>2742303.1000000015</v>
      </c>
      <c r="F90" s="116">
        <f>(F32+F39)-F71</f>
        <v>2470935</v>
      </c>
      <c r="G90" s="116">
        <f>(G32+G39)-G71</f>
        <v>2123457.3000000007</v>
      </c>
      <c r="H90" s="116">
        <f>(H32+H39)-H71</f>
        <v>2501343.4000000022</v>
      </c>
      <c r="I90" s="130">
        <f>-(E90-D90)</f>
        <v>-71713.967362422496</v>
      </c>
      <c r="J90" s="131">
        <f>I90/E90</f>
        <v>-2.6150999633272651E-2</v>
      </c>
      <c r="K90" s="150">
        <f>K32+K39-K71</f>
        <v>1648817.5255185254</v>
      </c>
      <c r="L90" s="150">
        <f>L32+L39-L71</f>
        <v>2473355.2330000028</v>
      </c>
      <c r="M90" s="119">
        <v>2501343.7999999998</v>
      </c>
      <c r="N90" s="114">
        <v>864017</v>
      </c>
      <c r="O90" s="114">
        <v>2111377.6</v>
      </c>
      <c r="P90" s="22"/>
      <c r="Q90" s="19"/>
      <c r="R90" s="437"/>
      <c r="S90" s="19"/>
      <c r="T90" s="19"/>
      <c r="U90" s="18"/>
      <c r="V90" s="18"/>
      <c r="W90" s="18"/>
      <c r="X90" s="18"/>
      <c r="Y90" s="19"/>
      <c r="Z90" s="18"/>
      <c r="AA90" s="19"/>
      <c r="AB90" s="18"/>
      <c r="AC90" s="18"/>
    </row>
    <row r="91" spans="1:29" ht="15.75" customHeight="1">
      <c r="A91" s="2"/>
      <c r="B91" s="96"/>
      <c r="C91" s="38"/>
      <c r="D91" s="38"/>
      <c r="E91" s="39"/>
      <c r="F91" s="38"/>
      <c r="G91" s="38"/>
      <c r="H91" s="38"/>
      <c r="I91" s="39"/>
      <c r="J91" s="149"/>
      <c r="K91" s="39"/>
      <c r="L91" s="39"/>
      <c r="M91" s="38"/>
      <c r="N91" s="59"/>
      <c r="O91" s="60"/>
      <c r="P91" s="22"/>
      <c r="Q91" s="19"/>
      <c r="R91" s="437"/>
      <c r="S91" s="19"/>
      <c r="T91" s="19"/>
      <c r="U91" s="18"/>
      <c r="V91" s="18"/>
      <c r="W91" s="18"/>
      <c r="X91" s="18"/>
      <c r="Y91" s="19"/>
      <c r="Z91" s="18"/>
      <c r="AA91" s="19"/>
      <c r="AB91" s="18"/>
      <c r="AC91" s="18"/>
    </row>
    <row r="92" spans="1:29" ht="15.75" customHeight="1">
      <c r="A92" s="2"/>
      <c r="B92" s="151" t="s">
        <v>5</v>
      </c>
      <c r="C92" s="152">
        <f>C32+C39-C71+C88</f>
        <v>3596912.382637579</v>
      </c>
      <c r="D92" s="152">
        <f>D32+D39-D71+D88</f>
        <v>3085607.132637579</v>
      </c>
      <c r="E92" s="152">
        <f>E88+E90</f>
        <v>3019251.1000000015</v>
      </c>
      <c r="F92" s="153">
        <f>F88+F90</f>
        <v>2747883</v>
      </c>
      <c r="G92" s="153">
        <f>G88+G90</f>
        <v>2433751.3000000007</v>
      </c>
      <c r="H92" s="153">
        <f>H88+H90</f>
        <v>2712095.4000000022</v>
      </c>
      <c r="I92" s="152">
        <f>-(E92-D92)</f>
        <v>66356.032637577504</v>
      </c>
      <c r="J92" s="154">
        <f>I92/E92</f>
        <v>2.1977646257238252E-2</v>
      </c>
      <c r="K92" s="152">
        <f>K88+K90</f>
        <v>1648817.5255185254</v>
      </c>
      <c r="L92" s="152">
        <f>L88+L90</f>
        <v>2801758.2330000028</v>
      </c>
      <c r="M92" s="155">
        <v>2712095.7</v>
      </c>
      <c r="N92" s="156">
        <v>1553246</v>
      </c>
      <c r="O92" s="156">
        <v>2602196.1</v>
      </c>
      <c r="P92" s="22"/>
      <c r="Q92" s="19"/>
      <c r="R92" s="437"/>
      <c r="S92" s="19"/>
      <c r="T92" s="19"/>
      <c r="U92" s="18"/>
      <c r="V92" s="18"/>
      <c r="W92" s="18"/>
      <c r="X92" s="18"/>
      <c r="Y92" s="19"/>
      <c r="Z92" s="18"/>
      <c r="AA92" s="19"/>
      <c r="AB92" s="18"/>
      <c r="AC92" s="18"/>
    </row>
    <row r="93" spans="1:29" ht="15.75" customHeight="1">
      <c r="A93" s="19"/>
      <c r="B93" s="3"/>
      <c r="C93" s="435"/>
      <c r="D93" s="3"/>
      <c r="E93" s="3"/>
      <c r="F93" s="3"/>
      <c r="G93" s="3"/>
      <c r="H93" s="3"/>
      <c r="I93" s="3"/>
      <c r="J93" s="3"/>
      <c r="K93" s="530"/>
      <c r="L93" s="3"/>
      <c r="M93" s="3"/>
      <c r="N93" s="3"/>
      <c r="O93" s="3"/>
      <c r="P93" s="19"/>
      <c r="Q93" s="19"/>
      <c r="R93" s="437"/>
      <c r="S93" s="19"/>
      <c r="T93" s="19"/>
      <c r="U93" s="18"/>
      <c r="V93" s="18"/>
      <c r="W93" s="18"/>
      <c r="X93" s="18"/>
      <c r="Y93" s="19"/>
      <c r="Z93" s="18"/>
      <c r="AA93" s="19"/>
      <c r="AB93" s="18"/>
      <c r="AC93" s="18"/>
    </row>
    <row r="94" spans="1:29" ht="15.75" customHeight="1">
      <c r="A94" s="19"/>
      <c r="B94" s="19"/>
      <c r="C94" s="437"/>
      <c r="D94" s="19"/>
      <c r="E94" s="19"/>
      <c r="F94" s="19"/>
      <c r="G94" s="19"/>
      <c r="H94" s="19"/>
      <c r="I94" s="19"/>
      <c r="J94" s="19"/>
      <c r="K94" s="537"/>
      <c r="L94" s="19"/>
      <c r="M94" s="19"/>
      <c r="N94" s="19"/>
      <c r="O94" s="19"/>
      <c r="P94" s="19"/>
      <c r="Q94" s="19"/>
      <c r="R94" s="437"/>
      <c r="S94" s="19"/>
      <c r="T94" s="19"/>
      <c r="U94" s="18"/>
      <c r="V94" s="18"/>
      <c r="W94" s="18"/>
      <c r="X94" s="18"/>
      <c r="Y94" s="19"/>
      <c r="Z94" s="18"/>
      <c r="AA94" s="19"/>
      <c r="AB94" s="18"/>
      <c r="AC94" s="18"/>
    </row>
    <row r="95" spans="1:29" ht="15.75" customHeight="1">
      <c r="A95" s="19"/>
      <c r="B95" s="19"/>
      <c r="C95" s="437"/>
      <c r="D95" s="19"/>
      <c r="E95" s="19"/>
      <c r="F95" s="19"/>
      <c r="G95" s="19"/>
      <c r="H95" s="19"/>
      <c r="I95" s="19"/>
      <c r="J95" s="19"/>
      <c r="K95" s="537"/>
      <c r="L95" s="19"/>
      <c r="M95" s="19"/>
      <c r="N95" s="19"/>
      <c r="O95" s="19"/>
      <c r="P95" s="19"/>
      <c r="Q95" s="19"/>
      <c r="R95" s="437"/>
      <c r="S95" s="19"/>
      <c r="T95" s="19"/>
      <c r="U95" s="19"/>
      <c r="V95" s="19"/>
      <c r="W95" s="19"/>
      <c r="X95" s="19"/>
      <c r="Y95" s="19"/>
      <c r="Z95" s="18"/>
      <c r="AA95" s="19"/>
      <c r="AB95" s="19"/>
      <c r="AC95" s="19"/>
    </row>
    <row r="96" spans="1:29" ht="15.75" customHeight="1">
      <c r="A96" s="19"/>
      <c r="B96" s="19"/>
      <c r="C96" s="437"/>
      <c r="D96" s="19"/>
      <c r="E96" s="19"/>
      <c r="F96" s="157"/>
      <c r="G96" s="19"/>
      <c r="H96" s="19"/>
      <c r="I96" s="19"/>
      <c r="J96" s="19"/>
      <c r="K96" s="537"/>
      <c r="L96" s="19"/>
      <c r="M96" s="19"/>
      <c r="N96" s="19"/>
      <c r="O96" s="19"/>
      <c r="P96" s="19"/>
      <c r="Q96" s="19"/>
      <c r="R96" s="437"/>
      <c r="S96" s="19"/>
      <c r="T96" s="19"/>
      <c r="U96" s="19"/>
      <c r="V96" s="19"/>
      <c r="W96" s="19"/>
      <c r="X96" s="19"/>
      <c r="Y96" s="19"/>
      <c r="Z96" s="18"/>
      <c r="AA96" s="19"/>
      <c r="AB96" s="19"/>
      <c r="AC96" s="19"/>
    </row>
    <row r="97" spans="1:29" ht="15.75" customHeight="1">
      <c r="A97" s="19"/>
      <c r="B97" s="19"/>
      <c r="C97" s="437"/>
      <c r="D97" s="19"/>
      <c r="E97" s="19"/>
      <c r="F97" s="158"/>
      <c r="G97" s="19"/>
      <c r="H97" s="19"/>
      <c r="I97" s="19"/>
      <c r="J97" s="19"/>
      <c r="K97" s="537"/>
      <c r="L97" s="19"/>
      <c r="M97" s="19"/>
      <c r="N97" s="19"/>
      <c r="O97" s="19"/>
      <c r="P97" s="19"/>
      <c r="Q97" s="19"/>
      <c r="R97" s="437"/>
      <c r="S97" s="19"/>
      <c r="T97" s="19"/>
      <c r="U97" s="19"/>
      <c r="V97" s="19"/>
      <c r="W97" s="19"/>
      <c r="X97" s="19"/>
      <c r="Y97" s="19"/>
      <c r="Z97" s="18"/>
      <c r="AA97" s="19"/>
      <c r="AB97" s="19"/>
      <c r="AC97" s="19"/>
    </row>
    <row r="98" spans="1:29" ht="15.75" customHeight="1">
      <c r="A98" s="19"/>
      <c r="B98" s="19"/>
      <c r="C98" s="437"/>
      <c r="D98" s="19"/>
      <c r="E98" s="19"/>
      <c r="F98" s="19"/>
      <c r="G98" s="19"/>
      <c r="H98" s="19"/>
      <c r="I98" s="19"/>
      <c r="J98" s="19"/>
      <c r="K98" s="537"/>
      <c r="L98" s="19"/>
      <c r="M98" s="19"/>
      <c r="N98" s="19"/>
      <c r="O98" s="19"/>
      <c r="P98" s="19"/>
      <c r="Q98" s="19"/>
      <c r="R98" s="437"/>
      <c r="S98" s="19"/>
      <c r="T98" s="19"/>
      <c r="U98" s="19"/>
      <c r="V98" s="19"/>
      <c r="W98" s="19"/>
      <c r="X98" s="19"/>
      <c r="Y98" s="19"/>
      <c r="Z98" s="18"/>
      <c r="AA98" s="19"/>
      <c r="AB98" s="19"/>
      <c r="AC98" s="19"/>
    </row>
    <row r="99" spans="1:29" ht="15.75" customHeight="1">
      <c r="A99" s="19"/>
      <c r="B99" s="19"/>
      <c r="C99" s="437"/>
      <c r="D99" s="19"/>
      <c r="E99" s="19"/>
      <c r="F99" s="67"/>
      <c r="G99" s="19"/>
      <c r="H99" s="19"/>
      <c r="I99" s="19"/>
      <c r="J99" s="19"/>
      <c r="K99" s="537"/>
      <c r="L99" s="19"/>
      <c r="M99" s="19"/>
      <c r="N99" s="19"/>
      <c r="O99" s="19"/>
      <c r="P99" s="19"/>
      <c r="Q99" s="19"/>
      <c r="R99" s="437"/>
      <c r="S99" s="19"/>
      <c r="T99" s="19"/>
      <c r="U99" s="19"/>
      <c r="V99" s="19"/>
      <c r="W99" s="19"/>
      <c r="X99" s="19"/>
      <c r="Y99" s="19"/>
      <c r="Z99" s="18"/>
      <c r="AA99" s="19"/>
      <c r="AB99" s="19"/>
      <c r="AC99" s="19"/>
    </row>
  </sheetData>
  <mergeCells count="5">
    <mergeCell ref="B1:AC1"/>
    <mergeCell ref="X8:Y8"/>
    <mergeCell ref="Q2:AC2"/>
    <mergeCell ref="I8:J8"/>
    <mergeCell ref="B2:O2"/>
  </mergeCells>
  <pageMargins left="0.7" right="0.7" top="0.75" bottom="0.75" header="0" footer="0"/>
  <pageSetup orientation="landscape"/>
  <headerFooter>
    <oddFooter>&amp;C&amp;"Helvetica Neue,Regular"&amp;12&amp;K000000&amp;P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40"/>
  <sheetViews>
    <sheetView showGridLines="0" tabSelected="1" workbookViewId="0">
      <selection activeCell="C3" sqref="C3"/>
    </sheetView>
  </sheetViews>
  <sheetFormatPr defaultColWidth="14.42578125" defaultRowHeight="15" customHeight="1"/>
  <cols>
    <col min="1" max="1" width="14.42578125" style="159" customWidth="1"/>
    <col min="2" max="2" width="35.7109375" style="159" customWidth="1"/>
    <col min="3" max="4" width="35.7109375" style="433" customWidth="1"/>
    <col min="5" max="5" width="14.42578125" style="159" customWidth="1"/>
    <col min="6" max="6" width="23.85546875" style="159" customWidth="1"/>
    <col min="7" max="7" width="14.42578125" style="159" customWidth="1"/>
    <col min="8" max="8" width="22.28515625" style="159" customWidth="1"/>
    <col min="9" max="10" width="22.28515625" style="514" customWidth="1"/>
    <col min="11" max="11" width="14.42578125" style="159" customWidth="1"/>
    <col min="12" max="12" width="21.7109375" style="159" customWidth="1"/>
    <col min="13" max="13" width="14.42578125" style="159" customWidth="1"/>
    <col min="14" max="14" width="17.140625" style="159" customWidth="1"/>
    <col min="15" max="258" width="14.42578125" style="159" customWidth="1"/>
  </cols>
  <sheetData>
    <row r="1" spans="1:14" ht="15.75" customHeight="1">
      <c r="A1" s="160"/>
      <c r="B1" s="456" t="s">
        <v>131</v>
      </c>
      <c r="C1" s="456"/>
      <c r="D1" s="456"/>
      <c r="E1" s="457"/>
      <c r="F1" s="458"/>
      <c r="G1" s="458"/>
      <c r="H1" s="458"/>
      <c r="I1" s="458"/>
      <c r="J1" s="458"/>
      <c r="K1" s="458"/>
      <c r="L1" s="458"/>
      <c r="M1" s="458"/>
      <c r="N1" s="458"/>
    </row>
    <row r="2" spans="1:14" ht="15.75" customHeight="1">
      <c r="A2" s="2"/>
      <c r="B2" s="162" t="s">
        <v>132</v>
      </c>
      <c r="C2" s="487" t="s">
        <v>1172</v>
      </c>
      <c r="D2" s="487"/>
      <c r="E2" s="455" t="s">
        <v>133</v>
      </c>
      <c r="F2" s="452"/>
      <c r="G2" s="455" t="s">
        <v>134</v>
      </c>
      <c r="H2" s="452"/>
      <c r="I2" s="540" t="s">
        <v>135</v>
      </c>
      <c r="J2" s="541"/>
      <c r="K2" s="455" t="s">
        <v>136</v>
      </c>
      <c r="L2" s="452"/>
      <c r="M2" s="455" t="s">
        <v>137</v>
      </c>
      <c r="N2" s="452"/>
    </row>
    <row r="3" spans="1:14" ht="15.75" customHeight="1">
      <c r="A3" s="2"/>
      <c r="B3" s="163" t="s">
        <v>138</v>
      </c>
      <c r="C3" s="494">
        <v>56000</v>
      </c>
      <c r="D3" s="488"/>
      <c r="E3" s="164"/>
      <c r="F3" s="165">
        <v>51000</v>
      </c>
      <c r="G3" s="165">
        <v>50000</v>
      </c>
      <c r="H3" s="166"/>
      <c r="I3" s="542">
        <v>51781.286634264878</v>
      </c>
      <c r="J3" s="543"/>
      <c r="K3" s="461">
        <v>49200</v>
      </c>
      <c r="L3" s="460"/>
      <c r="M3" s="459">
        <v>49000</v>
      </c>
      <c r="N3" s="460"/>
    </row>
    <row r="4" spans="1:14" ht="15.75" customHeight="1">
      <c r="A4" s="2"/>
      <c r="B4" s="90" t="s">
        <v>139</v>
      </c>
      <c r="C4" s="495" t="s">
        <v>1173</v>
      </c>
      <c r="D4" s="489"/>
      <c r="E4" s="168"/>
      <c r="F4" s="169">
        <v>35635</v>
      </c>
      <c r="G4" s="169">
        <f>K4*1.05</f>
        <v>35274.75</v>
      </c>
      <c r="H4" s="170"/>
      <c r="I4" s="544">
        <v>41481.803302137392</v>
      </c>
      <c r="J4" s="545"/>
      <c r="K4" s="454">
        <v>33595</v>
      </c>
      <c r="L4" s="452"/>
      <c r="M4" s="453">
        <v>33595</v>
      </c>
      <c r="N4" s="452"/>
    </row>
    <row r="5" spans="1:14" ht="15.75" customHeight="1">
      <c r="A5" s="2"/>
      <c r="B5" s="54" t="s">
        <v>140</v>
      </c>
      <c r="C5" s="54"/>
      <c r="D5" s="54"/>
      <c r="E5" s="54" t="s">
        <v>141</v>
      </c>
      <c r="F5" s="54" t="s">
        <v>142</v>
      </c>
      <c r="G5" s="54" t="s">
        <v>141</v>
      </c>
      <c r="H5" s="54" t="s">
        <v>142</v>
      </c>
      <c r="I5" s="546" t="s">
        <v>141</v>
      </c>
      <c r="J5" s="546" t="s">
        <v>1</v>
      </c>
      <c r="K5" s="54" t="s">
        <v>141</v>
      </c>
      <c r="L5" s="54" t="s">
        <v>1</v>
      </c>
      <c r="M5" s="54" t="s">
        <v>141</v>
      </c>
      <c r="N5" s="54" t="s">
        <v>1</v>
      </c>
    </row>
    <row r="6" spans="1:14" ht="15.75" customHeight="1">
      <c r="A6" s="2"/>
      <c r="B6" s="163" t="s">
        <v>26</v>
      </c>
      <c r="C6" s="172">
        <v>42.261049999999997</v>
      </c>
      <c r="D6" s="172">
        <f>C6*$C$3</f>
        <v>2366618.7999999998</v>
      </c>
      <c r="E6" s="172">
        <f>G6*1.027</f>
        <v>42.261049999999997</v>
      </c>
      <c r="F6" s="172">
        <f t="shared" ref="D6:F22" si="0">E6*$F$3</f>
        <v>2155313.5499999998</v>
      </c>
      <c r="G6" s="172">
        <v>41.15</v>
      </c>
      <c r="H6" s="173">
        <f t="shared" ref="H6:H22" si="1">G6*50000</f>
        <v>2057500</v>
      </c>
      <c r="I6" s="547">
        <v>41.15</v>
      </c>
      <c r="J6" s="548">
        <v>2101151.37</v>
      </c>
      <c r="K6" s="175">
        <v>40.229999999999997</v>
      </c>
      <c r="L6" s="176">
        <v>1979316</v>
      </c>
      <c r="M6" s="175">
        <v>39.32</v>
      </c>
      <c r="N6" s="176">
        <v>1926680</v>
      </c>
    </row>
    <row r="7" spans="1:14" ht="15.75" customHeight="1">
      <c r="A7" s="2"/>
      <c r="B7" s="84" t="s">
        <v>28</v>
      </c>
      <c r="C7" s="172">
        <v>8.1851899999999986</v>
      </c>
      <c r="D7" s="172">
        <f t="shared" ref="D7:D28" si="2">C7*$C$3</f>
        <v>458370.6399999999</v>
      </c>
      <c r="E7" s="177">
        <f>G7*1.027</f>
        <v>8.1851899999999986</v>
      </c>
      <c r="F7" s="178">
        <f t="shared" si="0"/>
        <v>417444.68999999994</v>
      </c>
      <c r="G7" s="178">
        <v>7.97</v>
      </c>
      <c r="H7" s="83">
        <f t="shared" si="1"/>
        <v>398500</v>
      </c>
      <c r="I7" s="547">
        <v>7.97</v>
      </c>
      <c r="J7" s="548">
        <v>406116.89</v>
      </c>
      <c r="K7" s="179">
        <v>7.79</v>
      </c>
      <c r="L7" s="174">
        <v>383268</v>
      </c>
      <c r="M7" s="179">
        <v>7.61</v>
      </c>
      <c r="N7" s="174">
        <v>372890</v>
      </c>
    </row>
    <row r="8" spans="1:14" ht="15.75" customHeight="1">
      <c r="A8" s="2"/>
      <c r="B8" s="84" t="s">
        <v>30</v>
      </c>
      <c r="C8" s="172">
        <v>12</v>
      </c>
      <c r="D8" s="172">
        <f t="shared" si="2"/>
        <v>672000</v>
      </c>
      <c r="E8" s="180">
        <f>G8</f>
        <v>12</v>
      </c>
      <c r="F8" s="178">
        <f t="shared" si="0"/>
        <v>612000</v>
      </c>
      <c r="G8" s="178">
        <v>12</v>
      </c>
      <c r="H8" s="83">
        <f t="shared" si="1"/>
        <v>600000</v>
      </c>
      <c r="I8" s="547">
        <v>12</v>
      </c>
      <c r="J8" s="548">
        <v>610662</v>
      </c>
      <c r="K8" s="179">
        <v>12</v>
      </c>
      <c r="L8" s="174">
        <v>590400</v>
      </c>
      <c r="M8" s="179">
        <v>12</v>
      </c>
      <c r="N8" s="174">
        <v>588000</v>
      </c>
    </row>
    <row r="9" spans="1:14" ht="15.75" customHeight="1">
      <c r="A9" s="2"/>
      <c r="B9" s="84" t="s">
        <v>32</v>
      </c>
      <c r="C9" s="172">
        <v>21</v>
      </c>
      <c r="D9" s="172">
        <f t="shared" si="2"/>
        <v>1176000</v>
      </c>
      <c r="E9" s="180">
        <f>G9</f>
        <v>21</v>
      </c>
      <c r="F9" s="178">
        <f t="shared" si="0"/>
        <v>1071000</v>
      </c>
      <c r="G9" s="178">
        <v>21</v>
      </c>
      <c r="H9" s="83">
        <f t="shared" si="1"/>
        <v>1050000</v>
      </c>
      <c r="I9" s="547">
        <v>21</v>
      </c>
      <c r="J9" s="548">
        <v>1070905.5</v>
      </c>
      <c r="K9" s="179">
        <v>21</v>
      </c>
      <c r="L9" s="174">
        <v>1033200</v>
      </c>
      <c r="M9" s="179">
        <v>21</v>
      </c>
      <c r="N9" s="174">
        <v>1029000</v>
      </c>
    </row>
    <row r="10" spans="1:14" ht="15.75" customHeight="1">
      <c r="A10" s="2"/>
      <c r="B10" s="84" t="s">
        <v>34</v>
      </c>
      <c r="C10" s="172">
        <v>1.1091599999999999</v>
      </c>
      <c r="D10" s="172">
        <f t="shared" si="2"/>
        <v>62112.959999999999</v>
      </c>
      <c r="E10" s="180">
        <f>G10*1.027</f>
        <v>1.1091599999999999</v>
      </c>
      <c r="F10" s="178">
        <f t="shared" si="0"/>
        <v>56567.159999999996</v>
      </c>
      <c r="G10" s="178">
        <v>1.08</v>
      </c>
      <c r="H10" s="83">
        <f t="shared" si="1"/>
        <v>54000</v>
      </c>
      <c r="I10" s="547">
        <v>1.08</v>
      </c>
      <c r="J10" s="548">
        <v>55066.13</v>
      </c>
      <c r="K10" s="179">
        <v>1.07</v>
      </c>
      <c r="L10" s="174">
        <v>52644</v>
      </c>
      <c r="M10" s="179">
        <v>1.04</v>
      </c>
      <c r="N10" s="174">
        <v>50960</v>
      </c>
    </row>
    <row r="11" spans="1:14" ht="15.75" customHeight="1">
      <c r="A11" s="2"/>
      <c r="B11" s="84" t="s">
        <v>143</v>
      </c>
      <c r="C11" s="172">
        <v>9.3000000000000007</v>
      </c>
      <c r="D11" s="172">
        <f t="shared" si="2"/>
        <v>520800.00000000006</v>
      </c>
      <c r="E11" s="180">
        <v>9.3000000000000007</v>
      </c>
      <c r="F11" s="178">
        <f t="shared" si="0"/>
        <v>474300.00000000006</v>
      </c>
      <c r="G11" s="178">
        <v>3.63</v>
      </c>
      <c r="H11" s="83">
        <f t="shared" si="1"/>
        <v>181500</v>
      </c>
      <c r="I11" s="547">
        <v>3.63</v>
      </c>
      <c r="J11" s="548">
        <v>185082.99</v>
      </c>
      <c r="K11" s="179">
        <v>3.55</v>
      </c>
      <c r="L11" s="174">
        <v>174660</v>
      </c>
      <c r="M11" s="179">
        <v>3.47</v>
      </c>
      <c r="N11" s="174">
        <v>170030</v>
      </c>
    </row>
    <row r="12" spans="1:14" ht="15.75" customHeight="1">
      <c r="A12" s="2"/>
      <c r="B12" s="84" t="s">
        <v>144</v>
      </c>
      <c r="C12" s="172">
        <v>100</v>
      </c>
      <c r="D12" s="172">
        <f t="shared" si="2"/>
        <v>5600000</v>
      </c>
      <c r="E12" s="180">
        <f>G12</f>
        <v>100</v>
      </c>
      <c r="F12" s="178">
        <f t="shared" si="0"/>
        <v>5100000</v>
      </c>
      <c r="G12" s="178">
        <v>100</v>
      </c>
      <c r="H12" s="83">
        <f t="shared" si="1"/>
        <v>5000000</v>
      </c>
      <c r="I12" s="547">
        <v>100</v>
      </c>
      <c r="J12" s="548">
        <v>5055221.72</v>
      </c>
      <c r="K12" s="179">
        <v>100</v>
      </c>
      <c r="L12" s="174">
        <v>4920000</v>
      </c>
      <c r="M12" s="179">
        <v>100</v>
      </c>
      <c r="N12" s="174">
        <v>4900000</v>
      </c>
    </row>
    <row r="13" spans="1:14" ht="15.75" customHeight="1">
      <c r="A13" s="2"/>
      <c r="B13" s="84" t="s">
        <v>40</v>
      </c>
      <c r="C13" s="172">
        <v>5.6074199999999994</v>
      </c>
      <c r="D13" s="172">
        <f t="shared" si="2"/>
        <v>314015.51999999996</v>
      </c>
      <c r="E13" s="180">
        <f t="shared" ref="E13:E18" si="3">G13*1.027</f>
        <v>5.6074199999999994</v>
      </c>
      <c r="F13" s="178">
        <f t="shared" si="0"/>
        <v>285978.42</v>
      </c>
      <c r="G13" s="178">
        <v>5.46</v>
      </c>
      <c r="H13" s="83">
        <f t="shared" si="1"/>
        <v>273000</v>
      </c>
      <c r="I13" s="547">
        <v>5.46</v>
      </c>
      <c r="J13" s="548">
        <v>278393.78999999998</v>
      </c>
      <c r="K13" s="179">
        <v>5.34</v>
      </c>
      <c r="L13" s="174">
        <v>262728</v>
      </c>
      <c r="M13" s="179">
        <v>5.22</v>
      </c>
      <c r="N13" s="174">
        <v>255780</v>
      </c>
    </row>
    <row r="14" spans="1:14" ht="15.75" customHeight="1">
      <c r="A14" s="2"/>
      <c r="B14" s="84" t="s">
        <v>42</v>
      </c>
      <c r="C14" s="172">
        <v>1.7253599999999998</v>
      </c>
      <c r="D14" s="172">
        <f t="shared" si="2"/>
        <v>96620.159999999989</v>
      </c>
      <c r="E14" s="180">
        <f t="shared" si="3"/>
        <v>1.7253599999999998</v>
      </c>
      <c r="F14" s="178">
        <f t="shared" si="0"/>
        <v>87993.359999999986</v>
      </c>
      <c r="G14" s="178">
        <v>1.68</v>
      </c>
      <c r="H14" s="83">
        <f t="shared" si="1"/>
        <v>84000</v>
      </c>
      <c r="I14" s="547">
        <v>1.68</v>
      </c>
      <c r="J14" s="548">
        <v>86139.75</v>
      </c>
      <c r="K14" s="179">
        <v>1.64</v>
      </c>
      <c r="L14" s="174">
        <v>80688</v>
      </c>
      <c r="M14" s="179">
        <v>1.6</v>
      </c>
      <c r="N14" s="174">
        <v>78400</v>
      </c>
    </row>
    <row r="15" spans="1:14" ht="15.75" customHeight="1">
      <c r="A15" s="2"/>
      <c r="B15" s="84" t="s">
        <v>145</v>
      </c>
      <c r="C15" s="172">
        <v>2.5880399999999999</v>
      </c>
      <c r="D15" s="172">
        <f t="shared" si="2"/>
        <v>144930.23999999999</v>
      </c>
      <c r="E15" s="180">
        <f t="shared" si="3"/>
        <v>2.5880399999999999</v>
      </c>
      <c r="F15" s="178">
        <f t="shared" si="0"/>
        <v>131990.04</v>
      </c>
      <c r="G15" s="178">
        <v>2.52</v>
      </c>
      <c r="H15" s="83">
        <f t="shared" si="1"/>
        <v>126000</v>
      </c>
      <c r="I15" s="547">
        <v>2.52</v>
      </c>
      <c r="J15" s="548">
        <v>128481.56</v>
      </c>
      <c r="K15" s="179">
        <v>2.46</v>
      </c>
      <c r="L15" s="174">
        <v>121032</v>
      </c>
      <c r="M15" s="179">
        <v>2.4</v>
      </c>
      <c r="N15" s="174">
        <v>117600</v>
      </c>
    </row>
    <row r="16" spans="1:14" ht="15.75" customHeight="1">
      <c r="A16" s="2"/>
      <c r="B16" s="84" t="s">
        <v>47</v>
      </c>
      <c r="C16" s="172">
        <v>0.28755999999999998</v>
      </c>
      <c r="D16" s="172">
        <f t="shared" si="2"/>
        <v>16103.359999999999</v>
      </c>
      <c r="E16" s="180">
        <f t="shared" si="3"/>
        <v>0.28755999999999998</v>
      </c>
      <c r="F16" s="178">
        <f t="shared" si="0"/>
        <v>14665.56</v>
      </c>
      <c r="G16" s="178">
        <v>0.28000000000000003</v>
      </c>
      <c r="H16" s="83">
        <f t="shared" si="1"/>
        <v>14000.000000000002</v>
      </c>
      <c r="I16" s="547">
        <v>0.28000000000000003</v>
      </c>
      <c r="J16" s="548">
        <v>14279.56</v>
      </c>
      <c r="K16" s="179">
        <v>0.27</v>
      </c>
      <c r="L16" s="174">
        <v>13284</v>
      </c>
      <c r="M16" s="179">
        <v>0.26</v>
      </c>
      <c r="N16" s="174">
        <v>12838</v>
      </c>
    </row>
    <row r="17" spans="1:14" ht="15.75" customHeight="1">
      <c r="A17" s="2"/>
      <c r="B17" s="84" t="s">
        <v>49</v>
      </c>
      <c r="C17" s="172">
        <v>1.0988899999999999</v>
      </c>
      <c r="D17" s="172">
        <f t="shared" si="2"/>
        <v>61537.84</v>
      </c>
      <c r="E17" s="180">
        <f t="shared" si="3"/>
        <v>1.0988899999999999</v>
      </c>
      <c r="F17" s="178">
        <f t="shared" si="0"/>
        <v>56043.39</v>
      </c>
      <c r="G17" s="178">
        <v>1.07</v>
      </c>
      <c r="H17" s="83">
        <f t="shared" si="1"/>
        <v>53500</v>
      </c>
      <c r="I17" s="547">
        <v>1.07</v>
      </c>
      <c r="J17" s="548">
        <v>55021.11</v>
      </c>
      <c r="K17" s="179">
        <v>1.06</v>
      </c>
      <c r="L17" s="174">
        <v>52152</v>
      </c>
      <c r="M17" s="179">
        <v>1.03</v>
      </c>
      <c r="N17" s="174">
        <v>50470</v>
      </c>
    </row>
    <row r="18" spans="1:14" ht="15.75" customHeight="1">
      <c r="A18" s="2"/>
      <c r="B18" s="84" t="s">
        <v>51</v>
      </c>
      <c r="C18" s="172">
        <v>1.7253599999999998</v>
      </c>
      <c r="D18" s="172">
        <f t="shared" si="2"/>
        <v>96620.159999999989</v>
      </c>
      <c r="E18" s="180">
        <f t="shared" si="3"/>
        <v>1.7253599999999998</v>
      </c>
      <c r="F18" s="178">
        <f t="shared" si="0"/>
        <v>87993.359999999986</v>
      </c>
      <c r="G18" s="178">
        <v>1.68</v>
      </c>
      <c r="H18" s="83">
        <f t="shared" si="1"/>
        <v>84000</v>
      </c>
      <c r="I18" s="547">
        <v>1.68</v>
      </c>
      <c r="J18" s="548">
        <v>85654.41</v>
      </c>
      <c r="K18" s="179">
        <v>1.64</v>
      </c>
      <c r="L18" s="174">
        <v>80688</v>
      </c>
      <c r="M18" s="179">
        <v>1.6</v>
      </c>
      <c r="N18" s="174">
        <v>78400</v>
      </c>
    </row>
    <row r="19" spans="1:14" ht="15.75" customHeight="1">
      <c r="A19" s="2"/>
      <c r="B19" s="84" t="s">
        <v>52</v>
      </c>
      <c r="C19" s="172">
        <v>1.1499999999999999</v>
      </c>
      <c r="D19" s="172">
        <f t="shared" si="2"/>
        <v>64399.999999999993</v>
      </c>
      <c r="E19" s="180">
        <v>1.1499999999999999</v>
      </c>
      <c r="F19" s="178">
        <f t="shared" si="0"/>
        <v>58649.999999999993</v>
      </c>
      <c r="G19" s="178">
        <v>1.1200000000000001</v>
      </c>
      <c r="H19" s="83">
        <f t="shared" si="1"/>
        <v>56000.000000000007</v>
      </c>
      <c r="I19" s="547">
        <v>1.1200000000000001</v>
      </c>
      <c r="J19" s="548">
        <v>57106.62</v>
      </c>
      <c r="K19" s="181">
        <v>1.0900000000000001</v>
      </c>
      <c r="L19" s="174">
        <v>53628</v>
      </c>
      <c r="M19" s="179">
        <v>1.07</v>
      </c>
      <c r="N19" s="174">
        <v>52430</v>
      </c>
    </row>
    <row r="20" spans="1:14" ht="15.75" customHeight="1">
      <c r="A20" s="2"/>
      <c r="B20" s="84" t="s">
        <v>54</v>
      </c>
      <c r="C20" s="172">
        <v>5.7409299999999996</v>
      </c>
      <c r="D20" s="172">
        <f t="shared" si="2"/>
        <v>321492.07999999996</v>
      </c>
      <c r="E20" s="180">
        <f>G20*1.027</f>
        <v>5.7409299999999996</v>
      </c>
      <c r="F20" s="178">
        <f t="shared" si="0"/>
        <v>292787.43</v>
      </c>
      <c r="G20" s="178">
        <v>5.59</v>
      </c>
      <c r="H20" s="83">
        <f t="shared" si="1"/>
        <v>279500</v>
      </c>
      <c r="I20" s="547">
        <v>5.59</v>
      </c>
      <c r="J20" s="548">
        <v>286774.18</v>
      </c>
      <c r="K20" s="175">
        <v>5.46</v>
      </c>
      <c r="L20" s="174">
        <v>268632</v>
      </c>
      <c r="M20" s="179">
        <v>5.34</v>
      </c>
      <c r="N20" s="174">
        <v>261660</v>
      </c>
    </row>
    <row r="21" spans="1:14" ht="15.75" customHeight="1">
      <c r="A21" s="2"/>
      <c r="B21" s="84" t="s">
        <v>56</v>
      </c>
      <c r="C21" s="172">
        <v>1</v>
      </c>
      <c r="D21" s="172">
        <f t="shared" si="2"/>
        <v>56000</v>
      </c>
      <c r="E21" s="180">
        <v>1</v>
      </c>
      <c r="F21" s="178">
        <f t="shared" si="0"/>
        <v>51000</v>
      </c>
      <c r="G21" s="178">
        <v>1</v>
      </c>
      <c r="H21" s="76">
        <f t="shared" si="1"/>
        <v>50000</v>
      </c>
      <c r="I21" s="549">
        <v>1</v>
      </c>
      <c r="J21" s="548">
        <v>51533</v>
      </c>
      <c r="K21" s="179">
        <v>1</v>
      </c>
      <c r="L21" s="174">
        <v>49200</v>
      </c>
      <c r="M21" s="179">
        <v>1</v>
      </c>
      <c r="N21" s="174">
        <v>49000</v>
      </c>
    </row>
    <row r="22" spans="1:14" ht="15.75" customHeight="1">
      <c r="A22" s="2"/>
      <c r="B22" s="84" t="s">
        <v>146</v>
      </c>
      <c r="C22" s="172">
        <v>2.25</v>
      </c>
      <c r="D22" s="172">
        <f t="shared" si="2"/>
        <v>126000</v>
      </c>
      <c r="E22" s="180">
        <v>2.25</v>
      </c>
      <c r="F22" s="177">
        <f t="shared" si="0"/>
        <v>114750</v>
      </c>
      <c r="G22" s="178">
        <v>2</v>
      </c>
      <c r="H22" s="83">
        <f t="shared" si="1"/>
        <v>100000</v>
      </c>
      <c r="I22" s="547">
        <v>2</v>
      </c>
      <c r="J22" s="548">
        <v>102341.25</v>
      </c>
      <c r="K22" s="179">
        <v>1.75</v>
      </c>
      <c r="L22" s="174">
        <v>86100</v>
      </c>
      <c r="M22" s="179">
        <v>1.5</v>
      </c>
      <c r="N22" s="174">
        <v>73500</v>
      </c>
    </row>
    <row r="23" spans="1:14" ht="15.75" customHeight="1">
      <c r="A23" s="2"/>
      <c r="B23" s="84" t="s">
        <v>60</v>
      </c>
      <c r="C23" s="172">
        <v>256.92450000000002</v>
      </c>
      <c r="D23" s="172">
        <f t="shared" si="2"/>
        <v>14387772.000000002</v>
      </c>
      <c r="E23" s="180">
        <f>G23*1.05</f>
        <v>256.92450000000002</v>
      </c>
      <c r="F23" s="180">
        <f>E23*F4</f>
        <v>9155504.557500001</v>
      </c>
      <c r="G23" s="178">
        <v>244.69</v>
      </c>
      <c r="H23" s="83">
        <f>G23*35275</f>
        <v>8631439.75</v>
      </c>
      <c r="I23" s="547">
        <v>244.69</v>
      </c>
      <c r="J23" s="548">
        <v>10253097.27775</v>
      </c>
      <c r="K23" s="179">
        <v>232.49</v>
      </c>
      <c r="L23" s="174">
        <v>7810540.2999999998</v>
      </c>
      <c r="M23" s="179">
        <v>227.04</v>
      </c>
      <c r="N23" s="174">
        <v>7627446.6399999997</v>
      </c>
    </row>
    <row r="24" spans="1:14" ht="15.75" customHeight="1">
      <c r="A24" s="183">
        <v>14600</v>
      </c>
      <c r="B24" s="90" t="s">
        <v>62</v>
      </c>
      <c r="C24" s="172">
        <v>3</v>
      </c>
      <c r="D24" s="172">
        <f t="shared" si="2"/>
        <v>168000</v>
      </c>
      <c r="E24" s="184">
        <v>3</v>
      </c>
      <c r="F24" s="184">
        <f>(H24/G24)*E24</f>
        <v>21857.142857142855</v>
      </c>
      <c r="G24" s="185">
        <v>7</v>
      </c>
      <c r="H24" s="186">
        <v>51000</v>
      </c>
      <c r="I24" s="547">
        <v>7</v>
      </c>
      <c r="J24" s="548">
        <v>55293</v>
      </c>
      <c r="K24" s="187">
        <v>7</v>
      </c>
      <c r="L24" s="188">
        <v>51000</v>
      </c>
      <c r="M24" s="187">
        <v>7</v>
      </c>
      <c r="N24" s="188">
        <v>51000</v>
      </c>
    </row>
    <row r="25" spans="1:14" ht="15.75" customHeight="1">
      <c r="A25" s="2"/>
      <c r="B25" s="189" t="s">
        <v>147</v>
      </c>
      <c r="C25" s="172" t="s">
        <v>148</v>
      </c>
      <c r="D25" s="172">
        <f>F25</f>
        <v>2670200</v>
      </c>
      <c r="E25" s="190" t="str">
        <f>G25</f>
        <v>Varied</v>
      </c>
      <c r="F25" s="191">
        <f>H25*1.027</f>
        <v>2670200</v>
      </c>
      <c r="G25" s="190" t="s">
        <v>148</v>
      </c>
      <c r="H25" s="192">
        <v>2600000</v>
      </c>
      <c r="I25" s="550" t="s">
        <v>148</v>
      </c>
      <c r="J25" s="548">
        <v>2547681.16</v>
      </c>
      <c r="K25" s="193" t="s">
        <v>148</v>
      </c>
      <c r="L25" s="194">
        <v>2500000</v>
      </c>
      <c r="M25" s="193" t="s">
        <v>148</v>
      </c>
      <c r="N25" s="194">
        <v>2400000</v>
      </c>
    </row>
    <row r="26" spans="1:14" ht="15.75" customHeight="1">
      <c r="A26" s="2"/>
      <c r="B26" s="163" t="s">
        <v>149</v>
      </c>
      <c r="C26" s="172">
        <v>0.35</v>
      </c>
      <c r="D26" s="172">
        <f t="shared" si="2"/>
        <v>19600</v>
      </c>
      <c r="E26" s="195">
        <v>0.35</v>
      </c>
      <c r="F26" s="191">
        <f>E26*$F$3</f>
        <v>17850</v>
      </c>
      <c r="G26" s="196"/>
      <c r="H26" s="192"/>
      <c r="I26" s="547">
        <v>0.35</v>
      </c>
      <c r="J26" s="548">
        <v>17683.75</v>
      </c>
      <c r="K26" s="197"/>
      <c r="L26" s="194"/>
      <c r="M26" s="197"/>
      <c r="N26" s="194"/>
    </row>
    <row r="27" spans="1:14" ht="15.75" customHeight="1">
      <c r="A27" s="2"/>
      <c r="B27" s="84" t="s">
        <v>68</v>
      </c>
      <c r="C27" s="172">
        <v>0.95</v>
      </c>
      <c r="D27" s="172">
        <f t="shared" si="2"/>
        <v>53200</v>
      </c>
      <c r="E27" s="180">
        <v>0.95</v>
      </c>
      <c r="F27" s="191">
        <f>E27*$F$3</f>
        <v>48450</v>
      </c>
      <c r="G27" s="196"/>
      <c r="H27" s="192"/>
      <c r="I27" s="551"/>
      <c r="J27" s="552"/>
      <c r="K27" s="197"/>
      <c r="L27" s="194"/>
      <c r="M27" s="197"/>
      <c r="N27" s="194"/>
    </row>
    <row r="28" spans="1:14" ht="15.75" customHeight="1">
      <c r="A28" s="2"/>
      <c r="B28" s="84" t="s">
        <v>70</v>
      </c>
      <c r="C28" s="172">
        <v>0.95</v>
      </c>
      <c r="D28" s="172">
        <f t="shared" si="2"/>
        <v>53200</v>
      </c>
      <c r="E28" s="180">
        <v>0.95</v>
      </c>
      <c r="F28" s="191">
        <f>E28*$F$3</f>
        <v>48450</v>
      </c>
      <c r="G28" s="196"/>
      <c r="H28" s="198"/>
      <c r="I28" s="553"/>
      <c r="J28" s="553"/>
      <c r="K28" s="197"/>
      <c r="L28" s="194"/>
      <c r="M28" s="197"/>
      <c r="N28" s="194"/>
    </row>
    <row r="29" spans="1:14" ht="15.75" customHeight="1">
      <c r="A29" s="2"/>
      <c r="B29" s="199"/>
      <c r="C29" s="200"/>
      <c r="D29" s="200"/>
      <c r="E29" s="200"/>
      <c r="F29" s="201"/>
      <c r="G29" s="201"/>
      <c r="H29" s="201"/>
      <c r="I29" s="554"/>
      <c r="J29" s="554"/>
      <c r="K29" s="201"/>
      <c r="L29" s="201"/>
      <c r="M29" s="201"/>
      <c r="N29" s="201"/>
    </row>
    <row r="30" spans="1:14" ht="15.75" customHeight="1">
      <c r="A30" s="2"/>
      <c r="B30" s="202" t="s">
        <v>150</v>
      </c>
      <c r="C30" s="203">
        <f>SUM(C6:C24)+C26+C27+C28</f>
        <v>479.20346000000001</v>
      </c>
      <c r="D30" s="490"/>
      <c r="E30" s="203">
        <f>SUM(E6:E24)+E26+E27+E28</f>
        <v>479.20346000000001</v>
      </c>
      <c r="F30" s="203">
        <f>SUM(F6:F28)</f>
        <v>23030788.66035714</v>
      </c>
      <c r="G30" s="203">
        <f>SUM(G6:G24)</f>
        <v>460.92</v>
      </c>
      <c r="H30" s="203">
        <f>SUM(H6:H25)</f>
        <v>21743939.75</v>
      </c>
      <c r="I30" s="555">
        <f>SUM(I6:I25)</f>
        <v>460.92</v>
      </c>
      <c r="J30" s="555">
        <f>SUM(J6:J25)</f>
        <v>23486003.267749999</v>
      </c>
      <c r="K30" s="203">
        <v>446.84</v>
      </c>
      <c r="L30" s="204">
        <v>20563160.300000001</v>
      </c>
      <c r="M30" s="205">
        <v>439.5</v>
      </c>
      <c r="N30" s="204">
        <v>20146084.640000001</v>
      </c>
    </row>
    <row r="31" spans="1:14" ht="15.75" customHeight="1">
      <c r="A31" s="2"/>
      <c r="B31" s="206"/>
      <c r="C31" s="207"/>
      <c r="D31" s="207"/>
      <c r="E31" s="207"/>
      <c r="F31" s="207"/>
      <c r="G31" s="208"/>
      <c r="H31" s="39"/>
      <c r="I31" s="556"/>
      <c r="J31" s="556"/>
      <c r="K31" s="39"/>
      <c r="L31" s="39"/>
      <c r="M31" s="39"/>
      <c r="N31" s="3"/>
    </row>
    <row r="32" spans="1:14" ht="15.75" customHeight="1">
      <c r="A32" s="2"/>
      <c r="B32" s="209" t="s">
        <v>151</v>
      </c>
      <c r="C32" s="491"/>
      <c r="D32" s="491"/>
      <c r="E32" s="210"/>
      <c r="F32" s="210"/>
      <c r="G32" s="211"/>
      <c r="H32" s="62"/>
      <c r="I32" s="557"/>
      <c r="J32" s="557"/>
      <c r="K32" s="212" t="s">
        <v>141</v>
      </c>
      <c r="L32" s="39"/>
      <c r="M32" s="213" t="s">
        <v>141</v>
      </c>
      <c r="N32" s="22"/>
    </row>
    <row r="33" spans="1:14" ht="15.75" customHeight="1">
      <c r="A33" s="2"/>
      <c r="B33" s="214" t="s">
        <v>152</v>
      </c>
      <c r="C33" s="195">
        <v>164</v>
      </c>
      <c r="D33" s="492"/>
      <c r="E33" s="195">
        <v>164</v>
      </c>
      <c r="F33" s="195">
        <f>1.027*H33</f>
        <v>8421400</v>
      </c>
      <c r="G33" s="172">
        <v>164</v>
      </c>
      <c r="H33" s="172">
        <f>G33*G3</f>
        <v>8200000</v>
      </c>
      <c r="I33" s="558">
        <f>G33*I3</f>
        <v>8492131.0080194399</v>
      </c>
      <c r="J33" s="558"/>
      <c r="K33" s="172">
        <v>164</v>
      </c>
      <c r="L33" s="215">
        <f>H33*0.0973</f>
        <v>797860</v>
      </c>
      <c r="M33" s="172">
        <v>158</v>
      </c>
      <c r="N33" s="216">
        <f>L33*0.93</f>
        <v>742009.8</v>
      </c>
    </row>
    <row r="34" spans="1:14" ht="15.75" customHeight="1">
      <c r="A34" s="2"/>
      <c r="B34" s="217" t="s">
        <v>153</v>
      </c>
      <c r="C34" s="184">
        <v>6.8911699999999998</v>
      </c>
      <c r="D34" s="493"/>
      <c r="E34" s="184">
        <f>G34*1.027</f>
        <v>6.8911699999999998</v>
      </c>
      <c r="F34" s="184">
        <f>E34*F3</f>
        <v>351449.67</v>
      </c>
      <c r="G34" s="218">
        <v>6.71</v>
      </c>
      <c r="H34" s="218">
        <f>G34*G4</f>
        <v>236693.57250000001</v>
      </c>
      <c r="I34" s="559">
        <f>I3*G34</f>
        <v>347452.43331591733</v>
      </c>
      <c r="J34" s="559"/>
      <c r="K34" s="218">
        <v>6.55</v>
      </c>
      <c r="L34" s="219">
        <f>K34*K3</f>
        <v>322260</v>
      </c>
      <c r="M34" s="177">
        <v>6.41</v>
      </c>
      <c r="N34" s="220">
        <f>M34*M3</f>
        <v>314090</v>
      </c>
    </row>
    <row r="35" spans="1:14" ht="15.75" customHeight="1">
      <c r="A35" s="2"/>
      <c r="B35" s="221" t="s">
        <v>154</v>
      </c>
      <c r="C35" s="222">
        <f>C34+C30+C33</f>
        <v>650.09463000000005</v>
      </c>
      <c r="D35" s="221"/>
      <c r="E35" s="222">
        <f>E34+E30+E33</f>
        <v>650.09463000000005</v>
      </c>
      <c r="F35" s="222">
        <f>SUM(F33:F34)</f>
        <v>8772849.6699999999</v>
      </c>
      <c r="G35" s="222">
        <f>G30+G33+G34</f>
        <v>631.63000000000011</v>
      </c>
      <c r="H35" s="223">
        <f>SUM(H33:H34)</f>
        <v>8436693.5724999998</v>
      </c>
      <c r="I35" s="560">
        <f>I30+I33+I34</f>
        <v>8840044.3613353577</v>
      </c>
      <c r="J35" s="561">
        <f>SUM(J30,J33:J34)</f>
        <v>23486003.267749999</v>
      </c>
      <c r="K35" s="222">
        <v>617.39</v>
      </c>
      <c r="L35" s="224">
        <f>L34+L33+L30</f>
        <v>21683280.300000001</v>
      </c>
      <c r="M35" s="225">
        <v>603.91</v>
      </c>
      <c r="N35" s="224">
        <f>SUM(N33:N34)+N30</f>
        <v>21202184.440000001</v>
      </c>
    </row>
    <row r="36" spans="1:14" ht="15.75" customHeight="1">
      <c r="A36" s="19"/>
      <c r="B36" s="3"/>
      <c r="C36" s="435"/>
      <c r="D36" s="435"/>
      <c r="E36" s="3"/>
      <c r="F36" s="3"/>
      <c r="G36" s="3"/>
      <c r="H36" s="3"/>
      <c r="I36" s="530"/>
      <c r="J36" s="530"/>
      <c r="K36" s="3"/>
      <c r="L36" s="3"/>
      <c r="M36" s="3"/>
      <c r="N36" s="3"/>
    </row>
    <row r="37" spans="1:14" ht="15.75" customHeight="1">
      <c r="A37" s="19"/>
      <c r="B37" s="19"/>
      <c r="C37" s="437"/>
      <c r="D37" s="437"/>
      <c r="E37" s="19"/>
      <c r="F37" s="19"/>
      <c r="G37" s="19"/>
      <c r="H37" s="19"/>
      <c r="I37" s="537"/>
      <c r="J37" s="537"/>
      <c r="K37" s="19"/>
      <c r="L37" s="19">
        <f>L34/K34</f>
        <v>49200</v>
      </c>
      <c r="M37" s="19"/>
      <c r="N37" s="19">
        <f>N34/M34</f>
        <v>49000</v>
      </c>
    </row>
    <row r="38" spans="1:14" ht="15.75" customHeight="1">
      <c r="A38" s="19"/>
      <c r="B38" s="19"/>
      <c r="C38" s="437"/>
      <c r="D38" s="437"/>
      <c r="E38" s="19"/>
      <c r="F38" s="19"/>
      <c r="G38" s="19"/>
      <c r="H38" s="19"/>
      <c r="I38" s="537"/>
      <c r="J38" s="537"/>
      <c r="K38" s="19"/>
      <c r="L38" s="19"/>
      <c r="M38" s="19"/>
      <c r="N38" s="19"/>
    </row>
    <row r="39" spans="1:14" ht="15.75" customHeight="1">
      <c r="A39" s="19"/>
      <c r="B39" s="19"/>
      <c r="C39" s="437"/>
      <c r="D39" s="437"/>
      <c r="E39" s="19"/>
      <c r="F39" s="19"/>
      <c r="G39" s="19"/>
      <c r="H39" s="18"/>
      <c r="I39" s="531"/>
      <c r="J39" s="531"/>
      <c r="K39" s="19"/>
      <c r="L39" s="19"/>
      <c r="M39" s="19"/>
      <c r="N39" s="19"/>
    </row>
    <row r="40" spans="1:14" ht="15.75" customHeight="1">
      <c r="A40" s="19"/>
      <c r="B40" s="19"/>
      <c r="C40" s="437"/>
      <c r="D40" s="437"/>
      <c r="E40" s="19"/>
      <c r="F40" s="19"/>
      <c r="G40" s="19"/>
      <c r="H40" s="18"/>
      <c r="I40" s="531"/>
      <c r="J40" s="531"/>
      <c r="K40" s="19"/>
      <c r="L40" s="19"/>
      <c r="M40" s="19"/>
      <c r="N40" s="19"/>
    </row>
  </sheetData>
  <mergeCells count="12">
    <mergeCell ref="M4:N4"/>
    <mergeCell ref="K4:L4"/>
    <mergeCell ref="I2:J2"/>
    <mergeCell ref="I3:J3"/>
    <mergeCell ref="B1:N1"/>
    <mergeCell ref="I4:J4"/>
    <mergeCell ref="G2:H2"/>
    <mergeCell ref="E2:F2"/>
    <mergeCell ref="M3:N3"/>
    <mergeCell ref="K3:L3"/>
    <mergeCell ref="M2:N2"/>
    <mergeCell ref="K2:L2"/>
  </mergeCells>
  <conditionalFormatting sqref="G24">
    <cfRule type="cellIs" dxfId="4" priority="1" stopIfTrue="1" operator="lessThan">
      <formula>0</formula>
    </cfRule>
  </conditionalFormatting>
  <pageMargins left="0.7" right="0.7" top="0.75" bottom="0.75" header="0" footer="0"/>
  <pageSetup orientation="landscape"/>
  <headerFooter>
    <oddFooter>&amp;C&amp;"Helvetica Neue,Regular"&amp;12&amp;K000000&amp;P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255"/>
  <sheetViews>
    <sheetView showGridLines="0" topLeftCell="B237" workbookViewId="0">
      <selection activeCell="K237" sqref="K1:K1048576"/>
    </sheetView>
  </sheetViews>
  <sheetFormatPr defaultColWidth="14.42578125" defaultRowHeight="15" customHeight="1"/>
  <cols>
    <col min="1" max="1" width="14.42578125" style="226" hidden="1" customWidth="1"/>
    <col min="2" max="2" width="27.28515625" style="226" customWidth="1"/>
    <col min="3" max="3" width="14.28515625" style="226" customWidth="1"/>
    <col min="4" max="4" width="19.7109375" style="433" customWidth="1"/>
    <col min="5" max="5" width="16.42578125" style="226" customWidth="1"/>
    <col min="6" max="6" width="20" style="226" customWidth="1"/>
    <col min="7" max="7" width="20.42578125" style="226" customWidth="1"/>
    <col min="8" max="8" width="19" style="226" customWidth="1"/>
    <col min="9" max="9" width="17.42578125" style="226" customWidth="1"/>
    <col min="10" max="10" width="20.42578125" style="226" customWidth="1"/>
    <col min="11" max="11" width="26" style="514" customWidth="1"/>
    <col min="12" max="12" width="20.42578125" style="226" customWidth="1"/>
    <col min="13" max="13" width="17.7109375" style="226" customWidth="1"/>
    <col min="14" max="14" width="37.42578125" style="226" customWidth="1"/>
    <col min="15" max="257" width="14.42578125" style="226" customWidth="1"/>
  </cols>
  <sheetData>
    <row r="1" spans="1:15" ht="15.75" customHeight="1">
      <c r="A1" s="2"/>
      <c r="B1" s="462" t="s">
        <v>155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161"/>
    </row>
    <row r="2" spans="1:15" ht="15.75" customHeight="1">
      <c r="A2" s="2"/>
      <c r="B2" s="229" t="s">
        <v>156</v>
      </c>
      <c r="C2" s="230" t="s">
        <v>157</v>
      </c>
      <c r="D2" s="230" t="s">
        <v>1170</v>
      </c>
      <c r="E2" s="231" t="s">
        <v>8</v>
      </c>
      <c r="F2" s="232" t="s">
        <v>158</v>
      </c>
      <c r="G2" s="232" t="s">
        <v>159</v>
      </c>
      <c r="H2" s="233" t="s">
        <v>160</v>
      </c>
      <c r="I2" s="232" t="s">
        <v>161</v>
      </c>
      <c r="J2" s="233" t="s">
        <v>162</v>
      </c>
      <c r="K2" s="498" t="s">
        <v>163</v>
      </c>
      <c r="L2" s="234" t="s">
        <v>164</v>
      </c>
      <c r="M2" s="233" t="s">
        <v>165</v>
      </c>
      <c r="N2" s="235" t="s">
        <v>166</v>
      </c>
      <c r="O2" s="19"/>
    </row>
    <row r="3" spans="1:15" ht="15.75" customHeight="1">
      <c r="A3" s="2"/>
      <c r="B3" s="171" t="s">
        <v>29</v>
      </c>
      <c r="C3" s="236"/>
      <c r="D3" s="236"/>
      <c r="E3" s="236"/>
      <c r="F3" s="236"/>
      <c r="G3" s="11"/>
      <c r="H3" s="11"/>
      <c r="I3" s="11"/>
      <c r="J3" s="11"/>
      <c r="K3" s="535"/>
      <c r="L3" s="11"/>
      <c r="M3" s="11"/>
      <c r="N3" s="237"/>
      <c r="O3" s="19"/>
    </row>
    <row r="4" spans="1:15" ht="15.75" customHeight="1">
      <c r="A4" s="2"/>
      <c r="B4" s="133" t="s">
        <v>167</v>
      </c>
      <c r="C4" s="133" t="s">
        <v>168</v>
      </c>
      <c r="D4" s="76">
        <v>250</v>
      </c>
      <c r="E4" s="76">
        <v>250</v>
      </c>
      <c r="F4" s="76">
        <v>1000</v>
      </c>
      <c r="G4" s="76">
        <v>1000</v>
      </c>
      <c r="H4" s="76">
        <v>1000</v>
      </c>
      <c r="I4" s="76">
        <v>1000</v>
      </c>
      <c r="J4" s="76">
        <v>1500</v>
      </c>
      <c r="K4" s="502">
        <v>1171.8599999999999</v>
      </c>
      <c r="L4" s="76">
        <v>369.25</v>
      </c>
      <c r="M4" s="76">
        <v>2121.0300000000002</v>
      </c>
      <c r="N4" s="237"/>
      <c r="O4" s="19"/>
    </row>
    <row r="5" spans="1:15" ht="15.75" customHeight="1">
      <c r="A5" s="2"/>
      <c r="B5" s="133" t="s">
        <v>169</v>
      </c>
      <c r="C5" s="133" t="s">
        <v>170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502"/>
      <c r="L5" s="76">
        <v>0</v>
      </c>
      <c r="M5" s="84" t="s">
        <v>44</v>
      </c>
      <c r="N5" s="237"/>
      <c r="O5" s="19"/>
    </row>
    <row r="6" spans="1:15" ht="15.75" customHeight="1">
      <c r="A6" s="2"/>
      <c r="B6" s="133" t="s">
        <v>171</v>
      </c>
      <c r="C6" s="133" t="s">
        <v>172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502"/>
      <c r="L6" s="76">
        <v>0</v>
      </c>
      <c r="M6" s="76">
        <v>283.45</v>
      </c>
      <c r="N6" s="237"/>
      <c r="O6" s="19"/>
    </row>
    <row r="7" spans="1:15" ht="15.75" customHeight="1">
      <c r="A7" s="2"/>
      <c r="B7" s="133" t="s">
        <v>173</v>
      </c>
      <c r="C7" s="133" t="s">
        <v>174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502"/>
      <c r="L7" s="76">
        <v>0</v>
      </c>
      <c r="M7" s="84" t="s">
        <v>44</v>
      </c>
      <c r="N7" s="237"/>
      <c r="O7" s="19"/>
    </row>
    <row r="8" spans="1:15" ht="15.75" customHeight="1">
      <c r="A8" s="2"/>
      <c r="B8" s="133" t="s">
        <v>175</v>
      </c>
      <c r="C8" s="133" t="s">
        <v>176</v>
      </c>
      <c r="D8" s="76">
        <v>500</v>
      </c>
      <c r="E8" s="76">
        <v>500</v>
      </c>
      <c r="F8" s="76">
        <v>500</v>
      </c>
      <c r="G8" s="76">
        <v>500</v>
      </c>
      <c r="H8" s="76">
        <v>500</v>
      </c>
      <c r="I8" s="76">
        <v>500</v>
      </c>
      <c r="J8" s="76">
        <v>0</v>
      </c>
      <c r="K8" s="502">
        <v>113.37</v>
      </c>
      <c r="L8" s="76">
        <v>199</v>
      </c>
      <c r="M8" s="76">
        <v>462.38</v>
      </c>
      <c r="N8" s="237"/>
      <c r="O8" s="19"/>
    </row>
    <row r="9" spans="1:15" ht="15.75" customHeight="1">
      <c r="A9" s="2"/>
      <c r="B9" s="133" t="s">
        <v>177</v>
      </c>
      <c r="C9" s="133" t="s">
        <v>178</v>
      </c>
      <c r="D9" s="76">
        <v>3500</v>
      </c>
      <c r="E9" s="76">
        <v>3500</v>
      </c>
      <c r="F9" s="76">
        <v>2000</v>
      </c>
      <c r="G9" s="76">
        <v>2000</v>
      </c>
      <c r="H9" s="76">
        <v>2000</v>
      </c>
      <c r="I9" s="76">
        <v>2000</v>
      </c>
      <c r="J9" s="76">
        <v>2000</v>
      </c>
      <c r="K9" s="502">
        <v>432.48</v>
      </c>
      <c r="L9" s="76">
        <v>982.95</v>
      </c>
      <c r="M9" s="76">
        <v>3680.96</v>
      </c>
      <c r="N9" s="237"/>
      <c r="O9" s="19"/>
    </row>
    <row r="10" spans="1:15" ht="15.75" customHeight="1">
      <c r="A10" s="2"/>
      <c r="B10" s="133" t="s">
        <v>179</v>
      </c>
      <c r="C10" s="133" t="s">
        <v>180</v>
      </c>
      <c r="D10" s="76">
        <v>3000</v>
      </c>
      <c r="E10" s="76">
        <v>3000</v>
      </c>
      <c r="F10" s="76">
        <v>3000</v>
      </c>
      <c r="G10" s="76">
        <v>3000</v>
      </c>
      <c r="H10" s="76">
        <v>3000</v>
      </c>
      <c r="I10" s="76">
        <v>3000</v>
      </c>
      <c r="J10" s="76">
        <v>2500</v>
      </c>
      <c r="K10" s="502">
        <v>2287.9299999999998</v>
      </c>
      <c r="L10" s="76">
        <v>2349.6799999999998</v>
      </c>
      <c r="M10" s="76">
        <v>2824.15</v>
      </c>
      <c r="N10" s="237"/>
      <c r="O10" s="19"/>
    </row>
    <row r="11" spans="1:15" ht="15.75" customHeight="1">
      <c r="A11" s="2"/>
      <c r="B11" s="133" t="s">
        <v>181</v>
      </c>
      <c r="C11" s="133" t="s">
        <v>182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502">
        <v>154.94</v>
      </c>
      <c r="L11" s="76">
        <v>88.17</v>
      </c>
      <c r="M11" s="76">
        <v>87.33</v>
      </c>
      <c r="N11" s="237"/>
      <c r="O11" s="19"/>
    </row>
    <row r="12" spans="1:15" ht="15.75" customHeight="1">
      <c r="A12" s="2"/>
      <c r="B12" s="133" t="s">
        <v>183</v>
      </c>
      <c r="C12" s="133" t="s">
        <v>184</v>
      </c>
      <c r="D12" s="76">
        <v>1000</v>
      </c>
      <c r="E12" s="76">
        <v>1000</v>
      </c>
      <c r="F12" s="76">
        <v>5000</v>
      </c>
      <c r="G12" s="76">
        <v>5000</v>
      </c>
      <c r="H12" s="76">
        <v>5000</v>
      </c>
      <c r="I12" s="76">
        <v>5000</v>
      </c>
      <c r="J12" s="76">
        <v>4000</v>
      </c>
      <c r="K12" s="502"/>
      <c r="L12" s="76">
        <v>5139.88</v>
      </c>
      <c r="M12" s="76">
        <v>14546.48</v>
      </c>
      <c r="N12" s="237"/>
      <c r="O12" s="19"/>
    </row>
    <row r="13" spans="1:15" ht="15.75" customHeight="1">
      <c r="A13" s="2"/>
      <c r="B13" s="133" t="s">
        <v>185</v>
      </c>
      <c r="C13" s="133" t="s">
        <v>186</v>
      </c>
      <c r="D13" s="76">
        <v>2000</v>
      </c>
      <c r="E13" s="76">
        <v>2000</v>
      </c>
      <c r="F13" s="76">
        <v>2500</v>
      </c>
      <c r="G13" s="76">
        <v>2500</v>
      </c>
      <c r="H13" s="76">
        <v>2500</v>
      </c>
      <c r="I13" s="76">
        <v>2500</v>
      </c>
      <c r="J13" s="76">
        <v>1500</v>
      </c>
      <c r="K13" s="502">
        <v>2280.6999999999998</v>
      </c>
      <c r="L13" s="76">
        <v>1128.0899999999999</v>
      </c>
      <c r="M13" s="76">
        <v>-51.91</v>
      </c>
      <c r="N13" s="237"/>
      <c r="O13" s="19"/>
    </row>
    <row r="14" spans="1:15" ht="15.75" customHeight="1">
      <c r="A14" s="2"/>
      <c r="B14" s="133" t="s">
        <v>187</v>
      </c>
      <c r="C14" s="133" t="s">
        <v>188</v>
      </c>
      <c r="D14" s="76">
        <v>250</v>
      </c>
      <c r="E14" s="76">
        <v>250</v>
      </c>
      <c r="F14" s="76">
        <v>250</v>
      </c>
      <c r="G14" s="76">
        <v>250</v>
      </c>
      <c r="H14" s="76">
        <v>250</v>
      </c>
      <c r="I14" s="76">
        <v>250</v>
      </c>
      <c r="J14" s="76">
        <v>250</v>
      </c>
      <c r="K14" s="502">
        <v>80</v>
      </c>
      <c r="L14" s="76">
        <v>0</v>
      </c>
      <c r="M14" s="76">
        <v>410.6</v>
      </c>
      <c r="N14" s="237"/>
      <c r="O14" s="19"/>
    </row>
    <row r="15" spans="1:15" ht="15.75" customHeight="1">
      <c r="A15" s="2"/>
      <c r="B15" s="133" t="s">
        <v>189</v>
      </c>
      <c r="C15" s="133" t="s">
        <v>190</v>
      </c>
      <c r="D15" s="76"/>
      <c r="E15" s="76"/>
      <c r="F15" s="76">
        <v>1000</v>
      </c>
      <c r="G15" s="76">
        <v>1000</v>
      </c>
      <c r="H15" s="76">
        <v>1000</v>
      </c>
      <c r="I15" s="76">
        <v>1000</v>
      </c>
      <c r="J15" s="76">
        <v>1100</v>
      </c>
      <c r="K15" s="502"/>
      <c r="L15" s="76">
        <v>0</v>
      </c>
      <c r="M15" s="76">
        <v>1002.89</v>
      </c>
      <c r="N15" s="237"/>
      <c r="O15" s="19"/>
    </row>
    <row r="16" spans="1:15" ht="15.75" customHeight="1">
      <c r="A16" s="2"/>
      <c r="B16" s="133" t="s">
        <v>191</v>
      </c>
      <c r="C16" s="133" t="s">
        <v>192</v>
      </c>
      <c r="D16" s="238">
        <v>0</v>
      </c>
      <c r="E16" s="238">
        <v>0</v>
      </c>
      <c r="F16" s="238">
        <v>0</v>
      </c>
      <c r="G16" s="238">
        <v>0</v>
      </c>
      <c r="H16" s="238">
        <v>0</v>
      </c>
      <c r="I16" s="84" t="s">
        <v>44</v>
      </c>
      <c r="J16" s="84" t="s">
        <v>44</v>
      </c>
      <c r="K16" s="502"/>
      <c r="L16" s="76">
        <v>0</v>
      </c>
      <c r="M16" s="76">
        <v>133.44999999999999</v>
      </c>
      <c r="N16" s="237"/>
      <c r="O16" s="19"/>
    </row>
    <row r="17" spans="1:15" ht="15.75" customHeight="1">
      <c r="A17" s="2"/>
      <c r="B17" s="133" t="s">
        <v>193</v>
      </c>
      <c r="C17" s="133" t="s">
        <v>194</v>
      </c>
      <c r="D17" s="76">
        <v>12000</v>
      </c>
      <c r="E17" s="76">
        <v>12000</v>
      </c>
      <c r="F17" s="76">
        <v>12000</v>
      </c>
      <c r="G17" s="76">
        <v>12000</v>
      </c>
      <c r="H17" s="76">
        <v>12000</v>
      </c>
      <c r="I17" s="76">
        <v>12000</v>
      </c>
      <c r="J17" s="76">
        <v>12000</v>
      </c>
      <c r="K17" s="502">
        <v>15170.68</v>
      </c>
      <c r="L17" s="76">
        <v>28429.42</v>
      </c>
      <c r="M17" s="76">
        <v>5479.59</v>
      </c>
      <c r="N17" s="237"/>
      <c r="O17" s="19"/>
    </row>
    <row r="18" spans="1:15" ht="15.75" customHeight="1">
      <c r="A18" s="2"/>
      <c r="B18" s="128" t="s">
        <v>195</v>
      </c>
      <c r="C18" s="128" t="s">
        <v>196</v>
      </c>
      <c r="D18" s="120">
        <v>200</v>
      </c>
      <c r="E18" s="120">
        <v>200</v>
      </c>
      <c r="F18" s="120">
        <v>200</v>
      </c>
      <c r="G18" s="120">
        <v>200</v>
      </c>
      <c r="H18" s="120">
        <v>200</v>
      </c>
      <c r="I18" s="120">
        <v>200</v>
      </c>
      <c r="J18" s="120">
        <v>110</v>
      </c>
      <c r="K18" s="503">
        <v>221.5</v>
      </c>
      <c r="L18" s="120">
        <v>149.93</v>
      </c>
      <c r="M18" s="120">
        <v>271.89999999999998</v>
      </c>
      <c r="N18" s="237"/>
      <c r="O18" s="19"/>
    </row>
    <row r="19" spans="1:15" ht="15.75" customHeight="1">
      <c r="A19" s="2"/>
      <c r="B19" s="239"/>
      <c r="C19" s="54" t="s">
        <v>197</v>
      </c>
      <c r="D19" s="240">
        <f t="shared" ref="D19" si="0">SUM(D4:D18)</f>
        <v>22700</v>
      </c>
      <c r="E19" s="240">
        <f t="shared" ref="E19:K19" si="1">SUM(E4:E18)</f>
        <v>22700</v>
      </c>
      <c r="F19" s="240">
        <f t="shared" si="1"/>
        <v>27450</v>
      </c>
      <c r="G19" s="41">
        <f t="shared" si="1"/>
        <v>27450</v>
      </c>
      <c r="H19" s="41">
        <f t="shared" si="1"/>
        <v>27450</v>
      </c>
      <c r="I19" s="41">
        <f t="shared" si="1"/>
        <v>27450</v>
      </c>
      <c r="J19" s="41">
        <f t="shared" si="1"/>
        <v>24960</v>
      </c>
      <c r="K19" s="519">
        <f t="shared" si="1"/>
        <v>21913.46</v>
      </c>
      <c r="L19" s="41">
        <v>38836.370000000003</v>
      </c>
      <c r="M19" s="41">
        <f>SUM(M4:M18)</f>
        <v>31252.3</v>
      </c>
      <c r="N19" s="237"/>
      <c r="O19" s="19"/>
    </row>
    <row r="20" spans="1:15" ht="15.75" customHeight="1">
      <c r="A20" s="2"/>
      <c r="B20" s="171" t="s">
        <v>31</v>
      </c>
      <c r="C20" s="236"/>
      <c r="D20" s="236"/>
      <c r="E20" s="236"/>
      <c r="F20" s="236"/>
      <c r="G20" s="11"/>
      <c r="H20" s="11"/>
      <c r="I20" s="11"/>
      <c r="J20" s="11"/>
      <c r="K20" s="502"/>
      <c r="L20" s="70"/>
      <c r="M20" s="11"/>
      <c r="N20" s="237"/>
      <c r="O20" s="19"/>
    </row>
    <row r="21" spans="1:15" ht="15.75" customHeight="1">
      <c r="A21" s="2"/>
      <c r="B21" s="133" t="s">
        <v>198</v>
      </c>
      <c r="C21" s="133" t="s">
        <v>199</v>
      </c>
      <c r="D21" s="76">
        <v>37652.9</v>
      </c>
      <c r="E21" s="76">
        <v>37652.9</v>
      </c>
      <c r="F21" s="76">
        <v>36663</v>
      </c>
      <c r="G21" s="76">
        <v>36663</v>
      </c>
      <c r="H21" s="76">
        <v>36663</v>
      </c>
      <c r="I21" s="76">
        <v>36663</v>
      </c>
      <c r="J21" s="76">
        <v>36400</v>
      </c>
      <c r="K21" s="502">
        <v>38723.33</v>
      </c>
      <c r="L21" s="76">
        <v>36662.959999999999</v>
      </c>
      <c r="M21" s="76">
        <v>57962.54</v>
      </c>
      <c r="N21" s="237"/>
      <c r="O21" s="19"/>
    </row>
    <row r="22" spans="1:15" ht="15.75" customHeight="1">
      <c r="A22" s="2"/>
      <c r="B22" s="133" t="s">
        <v>200</v>
      </c>
      <c r="C22" s="133" t="s">
        <v>201</v>
      </c>
      <c r="D22" s="76">
        <v>8015.33</v>
      </c>
      <c r="E22" s="76">
        <v>8015.33</v>
      </c>
      <c r="F22" s="76">
        <v>6166.41</v>
      </c>
      <c r="G22" s="76">
        <v>6166.41</v>
      </c>
      <c r="H22" s="76">
        <v>6166.41</v>
      </c>
      <c r="I22" s="76">
        <v>6166.41</v>
      </c>
      <c r="J22" s="76">
        <v>5092</v>
      </c>
      <c r="K22" s="502">
        <v>5529.11</v>
      </c>
      <c r="L22" s="76">
        <v>7018.7199999999993</v>
      </c>
      <c r="M22" s="76">
        <v>6163.64</v>
      </c>
      <c r="N22" s="237"/>
      <c r="O22" s="19"/>
    </row>
    <row r="23" spans="1:15" ht="15.75" customHeight="1">
      <c r="A23" s="2"/>
      <c r="B23" s="133" t="s">
        <v>202</v>
      </c>
      <c r="C23" s="133" t="s">
        <v>203</v>
      </c>
      <c r="D23" s="76">
        <v>2987.19</v>
      </c>
      <c r="E23" s="76">
        <v>2987.19</v>
      </c>
      <c r="F23" s="76">
        <v>3120</v>
      </c>
      <c r="G23" s="76">
        <v>3120</v>
      </c>
      <c r="H23" s="76">
        <v>3120</v>
      </c>
      <c r="I23" s="76">
        <v>3120</v>
      </c>
      <c r="J23" s="84" t="s">
        <v>44</v>
      </c>
      <c r="K23" s="502">
        <v>1019.86</v>
      </c>
      <c r="L23" s="76">
        <v>28095.89</v>
      </c>
      <c r="M23" s="76">
        <v>1580.5</v>
      </c>
      <c r="N23" s="237"/>
      <c r="O23" s="19"/>
    </row>
    <row r="24" spans="1:15" ht="15.75" customHeight="1">
      <c r="A24" s="2"/>
      <c r="B24" s="133" t="s">
        <v>204</v>
      </c>
      <c r="C24" s="133" t="s">
        <v>205</v>
      </c>
      <c r="D24" s="76">
        <v>740</v>
      </c>
      <c r="E24" s="76">
        <v>740</v>
      </c>
      <c r="F24" s="76">
        <v>1260</v>
      </c>
      <c r="G24" s="76">
        <v>1260</v>
      </c>
      <c r="H24" s="76">
        <v>1260</v>
      </c>
      <c r="I24" s="76">
        <v>1260</v>
      </c>
      <c r="J24" s="76">
        <v>1260</v>
      </c>
      <c r="K24" s="502">
        <v>555.29</v>
      </c>
      <c r="L24" s="76">
        <v>547.04</v>
      </c>
      <c r="M24" s="76">
        <v>1168.76</v>
      </c>
      <c r="N24" s="242"/>
      <c r="O24" s="19"/>
    </row>
    <row r="25" spans="1:15" ht="15.75" customHeight="1">
      <c r="A25" s="2"/>
      <c r="B25" s="133" t="s">
        <v>206</v>
      </c>
      <c r="C25" s="133" t="s">
        <v>207</v>
      </c>
      <c r="D25" s="76">
        <v>200</v>
      </c>
      <c r="E25" s="76">
        <v>200</v>
      </c>
      <c r="F25" s="76">
        <v>120</v>
      </c>
      <c r="G25" s="76">
        <v>120</v>
      </c>
      <c r="H25" s="76">
        <v>100</v>
      </c>
      <c r="I25" s="76">
        <v>100</v>
      </c>
      <c r="J25" s="76">
        <v>150</v>
      </c>
      <c r="K25" s="502"/>
      <c r="L25" s="76">
        <v>7018.7199999999993</v>
      </c>
      <c r="M25" s="76">
        <v>140.82</v>
      </c>
      <c r="N25" s="237"/>
      <c r="O25" s="19"/>
    </row>
    <row r="26" spans="1:15" ht="15.75" customHeight="1">
      <c r="A26" s="2"/>
      <c r="B26" s="133" t="s">
        <v>208</v>
      </c>
      <c r="C26" s="133" t="s">
        <v>209</v>
      </c>
      <c r="D26" s="76"/>
      <c r="E26" s="76"/>
      <c r="F26" s="76"/>
      <c r="G26" s="76"/>
      <c r="H26" s="84" t="s">
        <v>44</v>
      </c>
      <c r="I26" s="84" t="s">
        <v>44</v>
      </c>
      <c r="J26" s="84" t="s">
        <v>44</v>
      </c>
      <c r="K26" s="502"/>
      <c r="L26" s="76">
        <v>0</v>
      </c>
      <c r="M26" s="76">
        <v>1460.27</v>
      </c>
      <c r="N26" s="237"/>
      <c r="O26" s="19"/>
    </row>
    <row r="27" spans="1:15" ht="15.75" customHeight="1">
      <c r="A27" s="2"/>
      <c r="B27" s="133" t="s">
        <v>167</v>
      </c>
      <c r="C27" s="133" t="s">
        <v>210</v>
      </c>
      <c r="D27" s="76">
        <v>500</v>
      </c>
      <c r="E27" s="76">
        <v>500</v>
      </c>
      <c r="F27" s="76">
        <v>1000</v>
      </c>
      <c r="G27" s="76">
        <v>1000</v>
      </c>
      <c r="H27" s="76">
        <v>500</v>
      </c>
      <c r="I27" s="76">
        <v>500</v>
      </c>
      <c r="J27" s="76">
        <v>300</v>
      </c>
      <c r="K27" s="502">
        <v>4649.78</v>
      </c>
      <c r="L27" s="76">
        <v>4727</v>
      </c>
      <c r="M27" s="76">
        <v>155.46</v>
      </c>
      <c r="N27" s="242"/>
      <c r="O27" s="19"/>
    </row>
    <row r="28" spans="1:15" ht="15.75" customHeight="1">
      <c r="A28" s="2"/>
      <c r="B28" s="133" t="s">
        <v>169</v>
      </c>
      <c r="C28" s="133" t="s">
        <v>211</v>
      </c>
      <c r="D28" s="76">
        <v>100</v>
      </c>
      <c r="E28" s="76">
        <v>100</v>
      </c>
      <c r="F28" s="76">
        <v>50</v>
      </c>
      <c r="G28" s="76">
        <v>50</v>
      </c>
      <c r="H28" s="76">
        <v>50</v>
      </c>
      <c r="I28" s="76">
        <v>50</v>
      </c>
      <c r="J28" s="76">
        <v>100</v>
      </c>
      <c r="K28" s="502">
        <v>53.34</v>
      </c>
      <c r="L28" s="76">
        <v>0.24</v>
      </c>
      <c r="M28" s="76">
        <v>2149.1799999999998</v>
      </c>
      <c r="N28" s="237"/>
      <c r="O28" s="19"/>
    </row>
    <row r="29" spans="1:15" ht="15.75" customHeight="1">
      <c r="A29" s="2"/>
      <c r="B29" s="133" t="s">
        <v>212</v>
      </c>
      <c r="C29" s="133" t="s">
        <v>213</v>
      </c>
      <c r="D29" s="76">
        <v>3000</v>
      </c>
      <c r="E29" s="76">
        <v>3000</v>
      </c>
      <c r="F29" s="76">
        <v>3000</v>
      </c>
      <c r="G29" s="76">
        <v>3000</v>
      </c>
      <c r="H29" s="76">
        <v>3000</v>
      </c>
      <c r="I29" s="76">
        <v>3000</v>
      </c>
      <c r="J29" s="76">
        <v>3000</v>
      </c>
      <c r="K29" s="502">
        <v>1374.62</v>
      </c>
      <c r="L29" s="76">
        <v>533.07000000000005</v>
      </c>
      <c r="M29" s="76">
        <v>0</v>
      </c>
      <c r="N29" s="237"/>
      <c r="O29" s="19"/>
    </row>
    <row r="30" spans="1:15" ht="15.75" customHeight="1">
      <c r="A30" s="2"/>
      <c r="B30" s="133" t="s">
        <v>214</v>
      </c>
      <c r="C30" s="133" t="s">
        <v>215</v>
      </c>
      <c r="D30" s="76">
        <v>0</v>
      </c>
      <c r="E30" s="76">
        <v>0</v>
      </c>
      <c r="F30" s="76">
        <v>0</v>
      </c>
      <c r="G30" s="76">
        <v>0</v>
      </c>
      <c r="H30" s="84" t="s">
        <v>44</v>
      </c>
      <c r="I30" s="84" t="s">
        <v>44</v>
      </c>
      <c r="J30" s="76">
        <v>5000</v>
      </c>
      <c r="K30" s="502">
        <v>8165</v>
      </c>
      <c r="L30" s="76">
        <v>0</v>
      </c>
      <c r="M30" s="76">
        <v>217.41</v>
      </c>
      <c r="N30" s="237"/>
      <c r="O30" s="19"/>
    </row>
    <row r="31" spans="1:15" ht="15.75" customHeight="1">
      <c r="A31" s="2"/>
      <c r="B31" s="133" t="s">
        <v>216</v>
      </c>
      <c r="C31" s="133" t="s">
        <v>217</v>
      </c>
      <c r="D31" s="76">
        <v>250</v>
      </c>
      <c r="E31" s="76">
        <v>250</v>
      </c>
      <c r="F31" s="76">
        <v>250</v>
      </c>
      <c r="G31" s="76">
        <v>250</v>
      </c>
      <c r="H31" s="76">
        <v>250</v>
      </c>
      <c r="I31" s="76">
        <v>250</v>
      </c>
      <c r="J31" s="76">
        <v>250</v>
      </c>
      <c r="K31" s="502"/>
      <c r="L31" s="76">
        <v>30.2</v>
      </c>
      <c r="M31" s="76">
        <v>187.21</v>
      </c>
      <c r="N31" s="237"/>
      <c r="O31" s="19"/>
    </row>
    <row r="32" spans="1:15" ht="15.75" customHeight="1">
      <c r="A32" s="2"/>
      <c r="B32" s="133" t="s">
        <v>218</v>
      </c>
      <c r="C32" s="133" t="s">
        <v>219</v>
      </c>
      <c r="D32" s="76">
        <f>250+450</f>
        <v>700</v>
      </c>
      <c r="E32" s="76">
        <f>250+450</f>
        <v>700</v>
      </c>
      <c r="F32" s="76">
        <v>250</v>
      </c>
      <c r="G32" s="76">
        <v>250</v>
      </c>
      <c r="H32" s="76">
        <v>250</v>
      </c>
      <c r="I32" s="76">
        <v>250</v>
      </c>
      <c r="J32" s="84" t="s">
        <v>44</v>
      </c>
      <c r="K32" s="502">
        <v>486.85</v>
      </c>
      <c r="L32" s="76">
        <v>1958.55</v>
      </c>
      <c r="M32" s="76">
        <v>1674.17</v>
      </c>
      <c r="N32" s="237"/>
      <c r="O32" s="19"/>
    </row>
    <row r="33" spans="1:15" ht="15.75" customHeight="1">
      <c r="A33" s="243"/>
      <c r="B33" s="84" t="s">
        <v>220</v>
      </c>
      <c r="C33" s="84" t="s">
        <v>221</v>
      </c>
      <c r="D33" s="76">
        <v>400</v>
      </c>
      <c r="E33" s="76">
        <v>400</v>
      </c>
      <c r="F33" s="76">
        <v>400</v>
      </c>
      <c r="G33" s="76">
        <v>400</v>
      </c>
      <c r="H33" s="76">
        <v>350</v>
      </c>
      <c r="I33" s="76">
        <v>350</v>
      </c>
      <c r="J33" s="76">
        <v>200</v>
      </c>
      <c r="K33" s="502">
        <v>61.1</v>
      </c>
      <c r="L33" s="76">
        <v>1690.2</v>
      </c>
      <c r="M33" s="76">
        <v>28.97</v>
      </c>
      <c r="N33" s="237"/>
      <c r="O33" s="19"/>
    </row>
    <row r="34" spans="1:15" ht="15.75" customHeight="1">
      <c r="A34" s="138" t="s">
        <v>222</v>
      </c>
      <c r="B34" s="133" t="s">
        <v>223</v>
      </c>
      <c r="C34" s="133" t="s">
        <v>224</v>
      </c>
      <c r="D34" s="76"/>
      <c r="E34" s="76"/>
      <c r="F34" s="76"/>
      <c r="G34" s="76"/>
      <c r="H34" s="76"/>
      <c r="I34" s="76"/>
      <c r="J34" s="76"/>
      <c r="K34" s="502"/>
      <c r="L34" s="76">
        <v>95.5</v>
      </c>
      <c r="M34" s="76"/>
      <c r="N34" s="237"/>
      <c r="O34" s="19"/>
    </row>
    <row r="35" spans="1:15" ht="15.75" customHeight="1">
      <c r="A35" s="138" t="s">
        <v>225</v>
      </c>
      <c r="B35" s="244" t="s">
        <v>223</v>
      </c>
      <c r="C35" s="244" t="s">
        <v>226</v>
      </c>
      <c r="D35" s="245">
        <v>400</v>
      </c>
      <c r="E35" s="245">
        <v>400</v>
      </c>
      <c r="F35" s="245">
        <v>400</v>
      </c>
      <c r="G35" s="245">
        <v>400</v>
      </c>
      <c r="H35" s="245">
        <v>350</v>
      </c>
      <c r="I35" s="245">
        <v>350</v>
      </c>
      <c r="J35" s="245">
        <v>580</v>
      </c>
      <c r="K35" s="502"/>
      <c r="L35" s="76">
        <v>0</v>
      </c>
      <c r="M35" s="76">
        <v>540.97</v>
      </c>
      <c r="N35" s="237"/>
      <c r="O35" s="19"/>
    </row>
    <row r="36" spans="1:15" ht="15.75" customHeight="1">
      <c r="A36" s="2"/>
      <c r="B36" s="246" t="s">
        <v>227</v>
      </c>
      <c r="C36" s="247"/>
      <c r="D36" s="248"/>
      <c r="E36" s="248"/>
      <c r="F36" s="248"/>
      <c r="G36" s="248"/>
      <c r="H36" s="248"/>
      <c r="I36" s="248"/>
      <c r="J36" s="248"/>
      <c r="K36" s="505"/>
      <c r="L36" s="76">
        <v>0</v>
      </c>
      <c r="M36" s="134"/>
      <c r="N36" s="237"/>
      <c r="O36" s="19"/>
    </row>
    <row r="37" spans="1:15" ht="15.75" customHeight="1">
      <c r="A37" s="138" t="s">
        <v>228</v>
      </c>
      <c r="B37" s="249" t="s">
        <v>198</v>
      </c>
      <c r="C37" s="249" t="s">
        <v>229</v>
      </c>
      <c r="D37" s="250">
        <v>11146.5</v>
      </c>
      <c r="E37" s="250">
        <v>11146.5</v>
      </c>
      <c r="F37" s="251">
        <v>10246.5</v>
      </c>
      <c r="G37" s="251">
        <v>10246.5</v>
      </c>
      <c r="H37" s="251">
        <v>9695.4</v>
      </c>
      <c r="I37" s="251">
        <v>9695.4</v>
      </c>
      <c r="J37" s="251">
        <v>9857.7000000000007</v>
      </c>
      <c r="K37" s="502">
        <v>22406.73</v>
      </c>
      <c r="L37" s="76">
        <v>28095.89</v>
      </c>
      <c r="M37" s="76">
        <v>11596.38</v>
      </c>
      <c r="N37" s="237"/>
      <c r="O37" s="19"/>
    </row>
    <row r="38" spans="1:15" ht="15.75" customHeight="1">
      <c r="A38" s="2"/>
      <c r="B38" s="133" t="s">
        <v>230</v>
      </c>
      <c r="C38" s="133" t="s">
        <v>231</v>
      </c>
      <c r="D38" s="251"/>
      <c r="E38" s="251"/>
      <c r="F38" s="76">
        <f>0.07*F37</f>
        <v>717.25500000000011</v>
      </c>
      <c r="G38" s="76">
        <f>0.07*G37</f>
        <v>717.25500000000011</v>
      </c>
      <c r="H38" s="76">
        <v>678.68</v>
      </c>
      <c r="I38" s="76">
        <v>678.68</v>
      </c>
      <c r="J38" s="76">
        <v>690.04</v>
      </c>
      <c r="K38" s="502"/>
      <c r="L38" s="76">
        <v>0</v>
      </c>
      <c r="M38" s="76">
        <f>M37*0.07</f>
        <v>811.74660000000006</v>
      </c>
      <c r="N38" s="237"/>
      <c r="O38" s="19"/>
    </row>
    <row r="39" spans="1:15" ht="15.75" customHeight="1">
      <c r="A39" s="2"/>
      <c r="B39" s="133" t="s">
        <v>206</v>
      </c>
      <c r="C39" s="133" t="s">
        <v>232</v>
      </c>
      <c r="D39" s="76"/>
      <c r="E39" s="76"/>
      <c r="F39" s="76">
        <v>50</v>
      </c>
      <c r="G39" s="76">
        <v>50</v>
      </c>
      <c r="H39" s="76">
        <v>50</v>
      </c>
      <c r="I39" s="76">
        <v>50</v>
      </c>
      <c r="J39" s="76">
        <v>30</v>
      </c>
      <c r="K39" s="502"/>
      <c r="L39" s="76">
        <v>0</v>
      </c>
      <c r="M39" s="76">
        <v>0</v>
      </c>
      <c r="N39" s="237"/>
      <c r="O39" s="19"/>
    </row>
    <row r="40" spans="1:15" ht="15.75" customHeight="1">
      <c r="A40" s="2"/>
      <c r="B40" s="133" t="s">
        <v>167</v>
      </c>
      <c r="C40" s="133" t="s">
        <v>233</v>
      </c>
      <c r="D40" s="76"/>
      <c r="E40" s="76"/>
      <c r="F40" s="76">
        <v>60</v>
      </c>
      <c r="G40" s="76">
        <v>60</v>
      </c>
      <c r="H40" s="76">
        <v>50</v>
      </c>
      <c r="I40" s="76">
        <v>50</v>
      </c>
      <c r="J40" s="76">
        <v>50</v>
      </c>
      <c r="K40" s="502">
        <v>44.8</v>
      </c>
      <c r="L40" s="76">
        <v>84.7</v>
      </c>
      <c r="M40" s="76">
        <v>84.7</v>
      </c>
      <c r="N40" s="237"/>
      <c r="O40" s="19"/>
    </row>
    <row r="41" spans="1:15" ht="15.75" customHeight="1">
      <c r="A41" s="2"/>
      <c r="B41" s="133" t="s">
        <v>169</v>
      </c>
      <c r="C41" s="133" t="s">
        <v>234</v>
      </c>
      <c r="D41" s="76"/>
      <c r="E41" s="76"/>
      <c r="F41" s="76">
        <v>50</v>
      </c>
      <c r="G41" s="76">
        <v>50</v>
      </c>
      <c r="H41" s="76">
        <v>50</v>
      </c>
      <c r="I41" s="76">
        <v>50</v>
      </c>
      <c r="J41" s="84" t="s">
        <v>44</v>
      </c>
      <c r="K41" s="502"/>
      <c r="L41" s="76">
        <v>0</v>
      </c>
      <c r="M41" s="76">
        <v>0</v>
      </c>
      <c r="N41" s="237"/>
      <c r="O41" s="19"/>
    </row>
    <row r="42" spans="1:15" ht="15.75" customHeight="1">
      <c r="A42" s="2"/>
      <c r="B42" s="133" t="s">
        <v>218</v>
      </c>
      <c r="C42" s="133" t="s">
        <v>235</v>
      </c>
      <c r="D42" s="76">
        <v>0</v>
      </c>
      <c r="E42" s="76">
        <v>0</v>
      </c>
      <c r="F42" s="76">
        <v>0</v>
      </c>
      <c r="G42" s="76">
        <v>0</v>
      </c>
      <c r="H42" s="84" t="s">
        <v>44</v>
      </c>
      <c r="I42" s="84" t="s">
        <v>44</v>
      </c>
      <c r="J42" s="84" t="s">
        <v>44</v>
      </c>
      <c r="K42" s="502"/>
      <c r="L42" s="76">
        <v>0</v>
      </c>
      <c r="M42" s="76">
        <v>0</v>
      </c>
      <c r="N42" s="237"/>
      <c r="O42" s="19"/>
    </row>
    <row r="43" spans="1:15" ht="15.75" customHeight="1">
      <c r="A43" s="2"/>
      <c r="B43" s="133" t="s">
        <v>236</v>
      </c>
      <c r="C43" s="133" t="s">
        <v>237</v>
      </c>
      <c r="D43" s="76">
        <v>0</v>
      </c>
      <c r="E43" s="76">
        <v>0</v>
      </c>
      <c r="F43" s="76">
        <v>0</v>
      </c>
      <c r="G43" s="76">
        <v>0</v>
      </c>
      <c r="H43" s="84" t="s">
        <v>44</v>
      </c>
      <c r="I43" s="84" t="s">
        <v>44</v>
      </c>
      <c r="J43" s="76">
        <v>80</v>
      </c>
      <c r="K43" s="502"/>
      <c r="L43" s="76">
        <v>0</v>
      </c>
      <c r="M43" s="76">
        <v>210</v>
      </c>
      <c r="N43" s="237"/>
      <c r="O43" s="19"/>
    </row>
    <row r="44" spans="1:15" ht="15.75" customHeight="1">
      <c r="A44" s="2"/>
      <c r="B44" s="252" t="s">
        <v>238</v>
      </c>
      <c r="C44" s="7"/>
      <c r="D44" s="134"/>
      <c r="E44" s="134"/>
      <c r="F44" s="134"/>
      <c r="G44" s="134"/>
      <c r="H44" s="134"/>
      <c r="I44" s="134"/>
      <c r="J44" s="134"/>
      <c r="K44" s="502"/>
      <c r="L44" s="76">
        <v>0</v>
      </c>
      <c r="M44" s="134"/>
      <c r="N44" s="237"/>
      <c r="O44" s="19"/>
    </row>
    <row r="45" spans="1:15" ht="15.75" customHeight="1">
      <c r="A45" s="2"/>
      <c r="B45" s="133" t="s">
        <v>239</v>
      </c>
      <c r="C45" s="133" t="s">
        <v>240</v>
      </c>
      <c r="D45" s="76"/>
      <c r="E45" s="76"/>
      <c r="F45" s="76"/>
      <c r="G45" s="76"/>
      <c r="H45" s="76">
        <v>0</v>
      </c>
      <c r="I45" s="76">
        <v>0</v>
      </c>
      <c r="J45" s="84" t="s">
        <v>44</v>
      </c>
      <c r="K45" s="502"/>
      <c r="L45" s="76">
        <v>0</v>
      </c>
      <c r="M45" s="76">
        <v>0</v>
      </c>
      <c r="N45" s="237"/>
      <c r="O45" s="19"/>
    </row>
    <row r="46" spans="1:15" ht="15.75" customHeight="1">
      <c r="A46" s="2"/>
      <c r="B46" s="133" t="s">
        <v>241</v>
      </c>
      <c r="C46" s="133" t="s">
        <v>242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84" t="s">
        <v>44</v>
      </c>
      <c r="K46" s="502"/>
      <c r="L46" s="76">
        <v>0</v>
      </c>
      <c r="M46" s="76">
        <v>0</v>
      </c>
      <c r="N46" s="237"/>
      <c r="O46" s="19"/>
    </row>
    <row r="47" spans="1:15" ht="15.75" customHeight="1">
      <c r="A47" s="2"/>
      <c r="B47" s="133" t="s">
        <v>177</v>
      </c>
      <c r="C47" s="133" t="s">
        <v>243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84" t="s">
        <v>44</v>
      </c>
      <c r="K47" s="502"/>
      <c r="L47" s="76">
        <v>0</v>
      </c>
      <c r="M47" s="76">
        <v>67.2</v>
      </c>
      <c r="N47" s="237"/>
      <c r="O47" s="19"/>
    </row>
    <row r="48" spans="1:15" ht="15.75" customHeight="1">
      <c r="A48" s="2"/>
      <c r="B48" s="133" t="s">
        <v>244</v>
      </c>
      <c r="C48" s="133" t="s">
        <v>245</v>
      </c>
      <c r="D48" s="76">
        <v>1200</v>
      </c>
      <c r="E48" s="76">
        <v>1200</v>
      </c>
      <c r="F48" s="76">
        <v>1200</v>
      </c>
      <c r="G48" s="76">
        <v>1200</v>
      </c>
      <c r="H48" s="76">
        <v>1200</v>
      </c>
      <c r="I48" s="76">
        <v>1200</v>
      </c>
      <c r="J48" s="84" t="s">
        <v>44</v>
      </c>
      <c r="K48" s="502"/>
      <c r="L48" s="76">
        <v>0</v>
      </c>
      <c r="M48" s="76">
        <v>0</v>
      </c>
      <c r="N48" s="237"/>
      <c r="O48" s="19"/>
    </row>
    <row r="49" spans="1:15" ht="15.75" customHeight="1">
      <c r="A49" s="2"/>
      <c r="B49" s="252" t="s">
        <v>246</v>
      </c>
      <c r="C49" s="7"/>
      <c r="D49" s="134"/>
      <c r="E49" s="134"/>
      <c r="F49" s="134"/>
      <c r="G49" s="134"/>
      <c r="H49" s="134"/>
      <c r="I49" s="134"/>
      <c r="J49" s="134"/>
      <c r="K49" s="502"/>
      <c r="L49" s="76">
        <v>0</v>
      </c>
      <c r="M49" s="134"/>
      <c r="N49" s="237"/>
      <c r="O49" s="19"/>
    </row>
    <row r="50" spans="1:15" ht="15.75" customHeight="1">
      <c r="A50" s="138" t="s">
        <v>247</v>
      </c>
      <c r="B50" s="133" t="s">
        <v>198</v>
      </c>
      <c r="C50" s="133" t="s">
        <v>248</v>
      </c>
      <c r="D50" s="76">
        <v>9610.7999999999993</v>
      </c>
      <c r="E50" s="76">
        <v>9610.7999999999993</v>
      </c>
      <c r="F50" s="76">
        <v>14774.4</v>
      </c>
      <c r="G50" s="76">
        <v>14774.4</v>
      </c>
      <c r="H50" s="76">
        <v>9695.4</v>
      </c>
      <c r="I50" s="76">
        <v>9695.4</v>
      </c>
      <c r="J50" s="76">
        <v>9492.6</v>
      </c>
      <c r="K50" s="502"/>
      <c r="L50" s="76">
        <v>28095.89</v>
      </c>
      <c r="M50" s="76">
        <v>-9492</v>
      </c>
      <c r="N50" s="253"/>
      <c r="O50" s="22"/>
    </row>
    <row r="51" spans="1:15" ht="15.75" customHeight="1">
      <c r="A51" s="2"/>
      <c r="B51" s="133" t="s">
        <v>230</v>
      </c>
      <c r="C51" s="133" t="s">
        <v>249</v>
      </c>
      <c r="D51" s="76"/>
      <c r="E51" s="76"/>
      <c r="F51" s="76">
        <f>0.07*F50</f>
        <v>1034.2080000000001</v>
      </c>
      <c r="G51" s="76">
        <f>0.07*G50</f>
        <v>1034.2080000000001</v>
      </c>
      <c r="H51" s="76">
        <v>678.68</v>
      </c>
      <c r="I51" s="76">
        <v>678.68</v>
      </c>
      <c r="J51" s="76">
        <v>664.48</v>
      </c>
      <c r="K51" s="502"/>
      <c r="L51" s="76">
        <v>7018.7199999999993</v>
      </c>
      <c r="M51" s="84" t="s">
        <v>44</v>
      </c>
      <c r="N51" s="237"/>
      <c r="O51" s="19"/>
    </row>
    <row r="52" spans="1:15" ht="15.75" customHeight="1">
      <c r="A52" s="45"/>
      <c r="B52" s="252" t="s">
        <v>250</v>
      </c>
      <c r="C52" s="254"/>
      <c r="D52" s="134"/>
      <c r="E52" s="134"/>
      <c r="F52" s="134"/>
      <c r="G52" s="134"/>
      <c r="H52" s="134"/>
      <c r="I52" s="134"/>
      <c r="J52" s="134"/>
      <c r="K52" s="502"/>
      <c r="L52" s="76">
        <v>0</v>
      </c>
      <c r="M52" s="134"/>
      <c r="N52" s="237"/>
      <c r="O52" s="19"/>
    </row>
    <row r="53" spans="1:15" ht="15.75" customHeight="1">
      <c r="A53" s="122" t="s">
        <v>251</v>
      </c>
      <c r="B53" s="133" t="s">
        <v>198</v>
      </c>
      <c r="C53" s="133" t="s">
        <v>252</v>
      </c>
      <c r="D53" s="76">
        <v>11808.3</v>
      </c>
      <c r="E53" s="76">
        <v>11808.3</v>
      </c>
      <c r="F53" s="76">
        <v>4695.3999999999996</v>
      </c>
      <c r="G53" s="76">
        <v>9695.4</v>
      </c>
      <c r="H53" s="76">
        <v>9695.4</v>
      </c>
      <c r="I53" s="76">
        <v>9695.4</v>
      </c>
      <c r="J53" s="76">
        <v>9492.6</v>
      </c>
      <c r="K53" s="502"/>
      <c r="L53" s="76">
        <v>9434.85</v>
      </c>
      <c r="M53" s="76">
        <v>12352.55</v>
      </c>
      <c r="N53" s="237"/>
      <c r="O53" s="19"/>
    </row>
    <row r="54" spans="1:15" ht="15.75" customHeight="1">
      <c r="A54" s="123"/>
      <c r="B54" s="133" t="s">
        <v>230</v>
      </c>
      <c r="C54" s="133" t="s">
        <v>253</v>
      </c>
      <c r="D54" s="76"/>
      <c r="E54" s="76"/>
      <c r="F54" s="76">
        <f>0.07*F53</f>
        <v>328.678</v>
      </c>
      <c r="G54" s="76">
        <f>0.07*G53</f>
        <v>678.678</v>
      </c>
      <c r="H54" s="76">
        <v>678.68</v>
      </c>
      <c r="I54" s="76">
        <v>678.68</v>
      </c>
      <c r="J54" s="76">
        <v>664.48</v>
      </c>
      <c r="K54" s="502"/>
      <c r="L54" s="76">
        <v>0</v>
      </c>
      <c r="M54" s="76">
        <v>864.68</v>
      </c>
      <c r="N54" s="237"/>
      <c r="O54" s="19"/>
    </row>
    <row r="55" spans="1:15" ht="15.75" customHeight="1">
      <c r="A55" s="2"/>
      <c r="B55" s="252" t="s">
        <v>254</v>
      </c>
      <c r="C55" s="254"/>
      <c r="D55" s="134"/>
      <c r="E55" s="134"/>
      <c r="F55" s="134"/>
      <c r="G55" s="134"/>
      <c r="H55" s="134"/>
      <c r="I55" s="134"/>
      <c r="J55" s="134"/>
      <c r="K55" s="502"/>
      <c r="L55" s="76">
        <v>0</v>
      </c>
      <c r="M55" s="134"/>
      <c r="N55" s="237"/>
      <c r="O55" s="19"/>
    </row>
    <row r="56" spans="1:15" ht="15.75" customHeight="1">
      <c r="A56" s="138" t="s">
        <v>255</v>
      </c>
      <c r="B56" s="133" t="s">
        <v>198</v>
      </c>
      <c r="C56" s="133" t="s">
        <v>256</v>
      </c>
      <c r="D56" s="76">
        <v>11808.3</v>
      </c>
      <c r="E56" s="76">
        <v>11808.3</v>
      </c>
      <c r="F56" s="76">
        <v>6976.8</v>
      </c>
      <c r="G56" s="76">
        <v>6976.8</v>
      </c>
      <c r="H56" s="76">
        <v>12927.2</v>
      </c>
      <c r="I56" s="76">
        <v>12927.2</v>
      </c>
      <c r="J56" s="84" t="s">
        <v>44</v>
      </c>
      <c r="K56" s="502"/>
      <c r="L56" s="76">
        <v>0</v>
      </c>
      <c r="M56" s="76">
        <v>1467.8</v>
      </c>
      <c r="N56" s="237"/>
      <c r="O56" s="19"/>
    </row>
    <row r="57" spans="1:15" ht="15.75" customHeight="1">
      <c r="A57" s="2"/>
      <c r="B57" s="133" t="s">
        <v>230</v>
      </c>
      <c r="C57" s="133" t="s">
        <v>257</v>
      </c>
      <c r="D57" s="76"/>
      <c r="E57" s="76"/>
      <c r="F57" s="76">
        <f>0.07*F56</f>
        <v>488.37600000000003</v>
      </c>
      <c r="G57" s="76">
        <f>0.07*G56</f>
        <v>488.37600000000003</v>
      </c>
      <c r="H57" s="76">
        <v>904.9</v>
      </c>
      <c r="I57" s="76">
        <v>904.9</v>
      </c>
      <c r="J57" s="84" t="s">
        <v>44</v>
      </c>
      <c r="K57" s="502"/>
      <c r="L57" s="76">
        <v>0</v>
      </c>
      <c r="M57" s="84" t="s">
        <v>44</v>
      </c>
      <c r="N57" s="237"/>
      <c r="O57" s="19"/>
    </row>
    <row r="58" spans="1:15" ht="15.75" customHeight="1">
      <c r="A58" s="2"/>
      <c r="B58" s="255" t="s">
        <v>258</v>
      </c>
      <c r="C58" s="7"/>
      <c r="D58" s="76"/>
      <c r="E58" s="76"/>
      <c r="F58" s="76"/>
      <c r="G58" s="76"/>
      <c r="H58" s="76"/>
      <c r="I58" s="76"/>
      <c r="J58" s="238"/>
      <c r="K58" s="502"/>
      <c r="L58" s="76">
        <v>0</v>
      </c>
      <c r="M58" s="238"/>
      <c r="N58" s="237"/>
      <c r="O58" s="19"/>
    </row>
    <row r="59" spans="1:15" ht="15.75" customHeight="1">
      <c r="A59" s="2"/>
      <c r="B59" s="133" t="s">
        <v>259</v>
      </c>
      <c r="C59" s="133" t="s">
        <v>260</v>
      </c>
      <c r="D59" s="76"/>
      <c r="E59" s="76"/>
      <c r="F59" s="76"/>
      <c r="G59" s="76"/>
      <c r="H59" s="76"/>
      <c r="I59" s="76"/>
      <c r="J59" s="238"/>
      <c r="K59" s="502"/>
      <c r="L59" s="76">
        <v>-4404.55</v>
      </c>
      <c r="M59" s="238"/>
      <c r="N59" s="237"/>
      <c r="O59" s="19"/>
    </row>
    <row r="60" spans="1:15" ht="15.75" customHeight="1">
      <c r="A60" s="2"/>
      <c r="B60" s="128" t="s">
        <v>261</v>
      </c>
      <c r="C60" s="128" t="s">
        <v>262</v>
      </c>
      <c r="D60" s="120"/>
      <c r="E60" s="120"/>
      <c r="F60" s="120"/>
      <c r="G60" s="120"/>
      <c r="H60" s="120"/>
      <c r="I60" s="120"/>
      <c r="J60" s="256"/>
      <c r="K60" s="503">
        <v>244.35</v>
      </c>
      <c r="L60" s="120">
        <v>1264.04</v>
      </c>
      <c r="M60" s="256"/>
      <c r="N60" s="237"/>
      <c r="O60" s="19"/>
    </row>
    <row r="61" spans="1:15" ht="15.75" customHeight="1">
      <c r="A61" s="2"/>
      <c r="B61" s="239"/>
      <c r="C61" s="54" t="s">
        <v>197</v>
      </c>
      <c r="D61" s="240">
        <f>SUM(D21:D60)</f>
        <v>100519.32000000002</v>
      </c>
      <c r="E61" s="240">
        <f>SUM(E21:E60)</f>
        <v>100519.32000000002</v>
      </c>
      <c r="F61" s="240">
        <f>SUM(F21:F60)</f>
        <v>93301.027000000002</v>
      </c>
      <c r="G61" s="41">
        <f>SUM(G21:G60)</f>
        <v>98651.027000000002</v>
      </c>
      <c r="H61" s="41">
        <f>SUM(H21:H57)</f>
        <v>98363.749999999971</v>
      </c>
      <c r="I61" s="41">
        <f>SUM(I21:I57)</f>
        <v>98363.749999999971</v>
      </c>
      <c r="J61" s="41">
        <f>SUM(J21:J57)</f>
        <v>83353.899999999994</v>
      </c>
      <c r="K61" s="519">
        <f>SUM(K21:K60)</f>
        <v>83314.16</v>
      </c>
      <c r="L61" s="257">
        <v>95742.13</v>
      </c>
      <c r="M61" s="41">
        <f>SUM(M21:M57)</f>
        <v>91392.956600000005</v>
      </c>
      <c r="N61" s="237"/>
      <c r="O61" s="19"/>
    </row>
    <row r="62" spans="1:15" ht="15.75" customHeight="1">
      <c r="A62" s="2"/>
      <c r="B62" s="171" t="s">
        <v>263</v>
      </c>
      <c r="C62" s="258"/>
      <c r="D62" s="258"/>
      <c r="E62" s="258"/>
      <c r="F62" s="258"/>
      <c r="G62" s="11"/>
      <c r="H62" s="11"/>
      <c r="I62" s="11"/>
      <c r="J62" s="11"/>
      <c r="K62" s="502"/>
      <c r="L62" s="70"/>
      <c r="M62" s="11"/>
      <c r="N62" s="237"/>
      <c r="O62" s="19"/>
    </row>
    <row r="63" spans="1:15" ht="15.75" customHeight="1">
      <c r="A63" s="138" t="s">
        <v>264</v>
      </c>
      <c r="B63" s="133" t="s">
        <v>198</v>
      </c>
      <c r="C63" s="133" t="s">
        <v>265</v>
      </c>
      <c r="D63" s="76">
        <v>37652.9</v>
      </c>
      <c r="E63" s="76">
        <v>37652.9</v>
      </c>
      <c r="F63" s="259">
        <v>36663</v>
      </c>
      <c r="G63" s="259">
        <v>36663</v>
      </c>
      <c r="H63" s="76">
        <v>36663</v>
      </c>
      <c r="I63" s="76">
        <v>36663</v>
      </c>
      <c r="J63" s="76">
        <v>36400</v>
      </c>
      <c r="K63" s="502">
        <v>43837.27</v>
      </c>
      <c r="L63" s="76">
        <v>35495.08</v>
      </c>
      <c r="M63" s="76">
        <v>37401</v>
      </c>
      <c r="N63" s="237"/>
      <c r="O63" s="19"/>
    </row>
    <row r="64" spans="1:15" ht="15.75" customHeight="1">
      <c r="A64" s="138" t="s">
        <v>264</v>
      </c>
      <c r="B64" s="133" t="s">
        <v>200</v>
      </c>
      <c r="C64" s="133" t="s">
        <v>266</v>
      </c>
      <c r="D64" s="76">
        <v>8015.33</v>
      </c>
      <c r="E64" s="76">
        <v>8015.33</v>
      </c>
      <c r="F64" s="259">
        <v>6166.41</v>
      </c>
      <c r="G64" s="259">
        <v>6166.41</v>
      </c>
      <c r="H64" s="76">
        <v>6166.41</v>
      </c>
      <c r="I64" s="76">
        <v>6166.41</v>
      </c>
      <c r="J64" s="76">
        <v>5092</v>
      </c>
      <c r="K64" s="502">
        <v>7075.12</v>
      </c>
      <c r="L64" s="76">
        <v>6672.85</v>
      </c>
      <c r="M64" s="76">
        <v>6602.19</v>
      </c>
      <c r="N64" s="237"/>
      <c r="O64" s="19"/>
    </row>
    <row r="65" spans="1:15" ht="15.75" customHeight="1">
      <c r="A65" s="138" t="s">
        <v>264</v>
      </c>
      <c r="B65" s="133" t="s">
        <v>204</v>
      </c>
      <c r="C65" s="133" t="s">
        <v>267</v>
      </c>
      <c r="D65" s="76">
        <v>740</v>
      </c>
      <c r="E65" s="76">
        <v>740</v>
      </c>
      <c r="F65" s="259">
        <v>1260</v>
      </c>
      <c r="G65" s="259">
        <v>1260</v>
      </c>
      <c r="H65" s="76">
        <v>1260</v>
      </c>
      <c r="I65" s="76">
        <v>1260</v>
      </c>
      <c r="J65" s="76">
        <v>1260</v>
      </c>
      <c r="K65" s="502">
        <v>542.38</v>
      </c>
      <c r="L65" s="76">
        <v>541.56000000000006</v>
      </c>
      <c r="M65" s="76">
        <v>1201.27</v>
      </c>
      <c r="N65" s="242"/>
      <c r="O65" s="19"/>
    </row>
    <row r="66" spans="1:15" ht="15.75" customHeight="1">
      <c r="A66" s="138" t="s">
        <v>268</v>
      </c>
      <c r="B66" s="133" t="s">
        <v>206</v>
      </c>
      <c r="C66" s="133" t="s">
        <v>269</v>
      </c>
      <c r="D66" s="259">
        <v>150</v>
      </c>
      <c r="E66" s="259">
        <v>150</v>
      </c>
      <c r="F66" s="259">
        <v>150</v>
      </c>
      <c r="G66" s="259">
        <v>150</v>
      </c>
      <c r="H66" s="76">
        <v>150</v>
      </c>
      <c r="I66" s="76">
        <v>150</v>
      </c>
      <c r="J66" s="76">
        <v>150</v>
      </c>
      <c r="K66" s="502">
        <v>152.57</v>
      </c>
      <c r="L66" s="76">
        <v>0</v>
      </c>
      <c r="M66" s="76">
        <v>57</v>
      </c>
      <c r="N66" s="237"/>
      <c r="O66" s="19"/>
    </row>
    <row r="67" spans="1:15" ht="15.75" customHeight="1">
      <c r="A67" s="138" t="s">
        <v>264</v>
      </c>
      <c r="B67" s="133" t="s">
        <v>208</v>
      </c>
      <c r="C67" s="133" t="s">
        <v>270</v>
      </c>
      <c r="D67" s="259">
        <v>50</v>
      </c>
      <c r="E67" s="259">
        <v>50</v>
      </c>
      <c r="F67" s="259">
        <v>50</v>
      </c>
      <c r="G67" s="259">
        <v>50</v>
      </c>
      <c r="H67" s="76">
        <v>50</v>
      </c>
      <c r="I67" s="76">
        <v>0</v>
      </c>
      <c r="J67" s="84" t="s">
        <v>44</v>
      </c>
      <c r="K67" s="502"/>
      <c r="L67" s="76">
        <v>8.16</v>
      </c>
      <c r="M67" s="76">
        <v>8.16</v>
      </c>
      <c r="N67" s="237"/>
      <c r="O67" s="19"/>
    </row>
    <row r="68" spans="1:15" ht="15.75" customHeight="1">
      <c r="A68" s="138" t="s">
        <v>271</v>
      </c>
      <c r="B68" s="133" t="s">
        <v>167</v>
      </c>
      <c r="C68" s="133" t="s">
        <v>272</v>
      </c>
      <c r="D68" s="259">
        <v>500</v>
      </c>
      <c r="E68" s="259">
        <v>500</v>
      </c>
      <c r="F68" s="259">
        <v>300</v>
      </c>
      <c r="G68" s="259">
        <v>300</v>
      </c>
      <c r="H68" s="76">
        <v>300</v>
      </c>
      <c r="I68" s="76">
        <v>300</v>
      </c>
      <c r="J68" s="76">
        <v>300</v>
      </c>
      <c r="K68" s="502">
        <v>290.18</v>
      </c>
      <c r="L68" s="76">
        <v>576.93999999999994</v>
      </c>
      <c r="M68" s="76">
        <v>189.74</v>
      </c>
      <c r="N68" s="242"/>
      <c r="O68" s="19"/>
    </row>
    <row r="69" spans="1:15" ht="15.75" customHeight="1">
      <c r="A69" s="260" t="s">
        <v>264</v>
      </c>
      <c r="B69" s="133" t="s">
        <v>169</v>
      </c>
      <c r="C69" s="133" t="s">
        <v>273</v>
      </c>
      <c r="D69" s="259">
        <v>150</v>
      </c>
      <c r="E69" s="259">
        <v>150</v>
      </c>
      <c r="F69" s="259">
        <v>25</v>
      </c>
      <c r="G69" s="259">
        <v>25</v>
      </c>
      <c r="H69" s="76">
        <v>25</v>
      </c>
      <c r="I69" s="76">
        <v>25</v>
      </c>
      <c r="J69" s="76">
        <v>150</v>
      </c>
      <c r="K69" s="502">
        <v>160.97999999999999</v>
      </c>
      <c r="L69" s="76">
        <v>3</v>
      </c>
      <c r="M69" s="76">
        <v>0.18</v>
      </c>
      <c r="N69" s="237"/>
      <c r="O69" s="19"/>
    </row>
    <row r="70" spans="1:15" ht="15.75" customHeight="1">
      <c r="A70" s="261" t="s">
        <v>274</v>
      </c>
      <c r="B70" s="133" t="s">
        <v>212</v>
      </c>
      <c r="C70" s="133" t="s">
        <v>275</v>
      </c>
      <c r="D70" s="259">
        <v>2000</v>
      </c>
      <c r="E70" s="259">
        <v>2000</v>
      </c>
      <c r="F70" s="259">
        <v>3000</v>
      </c>
      <c r="G70" s="259">
        <v>3000</v>
      </c>
      <c r="H70" s="76">
        <v>3000</v>
      </c>
      <c r="I70" s="76">
        <v>3000</v>
      </c>
      <c r="J70" s="76">
        <v>3000</v>
      </c>
      <c r="K70" s="502">
        <v>1195.99</v>
      </c>
      <c r="L70" s="76">
        <v>2001.29</v>
      </c>
      <c r="M70" s="76">
        <v>2112.14</v>
      </c>
      <c r="N70" s="237"/>
      <c r="O70" s="19"/>
    </row>
    <row r="71" spans="1:15" ht="15.75" customHeight="1">
      <c r="A71" s="262" t="s">
        <v>264</v>
      </c>
      <c r="B71" s="133" t="s">
        <v>276</v>
      </c>
      <c r="C71" s="133" t="s">
        <v>277</v>
      </c>
      <c r="D71" s="259">
        <v>80</v>
      </c>
      <c r="E71" s="259">
        <v>80</v>
      </c>
      <c r="F71" s="259">
        <v>80</v>
      </c>
      <c r="G71" s="259">
        <v>80</v>
      </c>
      <c r="H71" s="76">
        <v>80</v>
      </c>
      <c r="I71" s="76">
        <v>80</v>
      </c>
      <c r="J71" s="76">
        <v>80</v>
      </c>
      <c r="K71" s="502"/>
      <c r="L71" s="76">
        <v>4.45</v>
      </c>
      <c r="M71" s="76">
        <v>4.45</v>
      </c>
      <c r="N71" s="237"/>
      <c r="O71" s="19"/>
    </row>
    <row r="72" spans="1:15" ht="15.75" customHeight="1">
      <c r="A72" s="2"/>
      <c r="B72" s="263" t="s">
        <v>278</v>
      </c>
      <c r="C72" s="133" t="s">
        <v>279</v>
      </c>
      <c r="D72" s="134"/>
      <c r="E72" s="134"/>
      <c r="F72" s="134"/>
      <c r="G72" s="134"/>
      <c r="H72" s="238"/>
      <c r="I72" s="238"/>
      <c r="J72" s="238"/>
      <c r="K72" s="502">
        <v>1512.16</v>
      </c>
      <c r="L72" s="76">
        <v>1386.14</v>
      </c>
      <c r="M72" s="238"/>
      <c r="N72" s="237"/>
      <c r="O72" s="19"/>
    </row>
    <row r="73" spans="1:15" ht="15.75" customHeight="1">
      <c r="A73" s="138" t="s">
        <v>264</v>
      </c>
      <c r="B73" s="133" t="s">
        <v>218</v>
      </c>
      <c r="C73" s="133" t="s">
        <v>280</v>
      </c>
      <c r="D73" s="133" t="s">
        <v>44</v>
      </c>
      <c r="E73" s="133" t="s">
        <v>44</v>
      </c>
      <c r="F73" s="134"/>
      <c r="G73" s="134"/>
      <c r="H73" s="84" t="s">
        <v>44</v>
      </c>
      <c r="I73" s="84" t="s">
        <v>44</v>
      </c>
      <c r="J73" s="84" t="s">
        <v>44</v>
      </c>
      <c r="K73" s="502"/>
      <c r="L73" s="76">
        <v>0</v>
      </c>
      <c r="M73" s="84" t="s">
        <v>44</v>
      </c>
      <c r="N73" s="237"/>
      <c r="O73" s="19"/>
    </row>
    <row r="74" spans="1:15" ht="15.75" customHeight="1">
      <c r="A74" s="2"/>
      <c r="B74" s="133" t="s">
        <v>223</v>
      </c>
      <c r="C74" s="133" t="s">
        <v>281</v>
      </c>
      <c r="D74" s="134">
        <v>100</v>
      </c>
      <c r="E74" s="134">
        <v>100</v>
      </c>
      <c r="F74" s="259">
        <v>100</v>
      </c>
      <c r="G74" s="259">
        <v>100</v>
      </c>
      <c r="H74" s="76">
        <v>100</v>
      </c>
      <c r="I74" s="76">
        <v>100</v>
      </c>
      <c r="J74" s="76">
        <v>100</v>
      </c>
      <c r="K74" s="502"/>
      <c r="L74" s="76">
        <v>0</v>
      </c>
      <c r="M74" s="84" t="s">
        <v>44</v>
      </c>
      <c r="N74" s="237"/>
      <c r="O74" s="19"/>
    </row>
    <row r="75" spans="1:15" ht="15.75" customHeight="1">
      <c r="A75" s="2"/>
      <c r="B75" s="252" t="s">
        <v>282</v>
      </c>
      <c r="C75" s="254"/>
      <c r="D75" s="134"/>
      <c r="E75" s="134"/>
      <c r="F75" s="134"/>
      <c r="G75" s="134"/>
      <c r="H75" s="134"/>
      <c r="I75" s="134"/>
      <c r="J75" s="134"/>
      <c r="K75" s="502"/>
      <c r="L75" s="76">
        <v>0</v>
      </c>
      <c r="M75" s="134"/>
      <c r="N75" s="237"/>
      <c r="O75" s="19"/>
    </row>
    <row r="76" spans="1:15" ht="15.75" customHeight="1">
      <c r="A76" s="138" t="s">
        <v>283</v>
      </c>
      <c r="B76" s="133" t="s">
        <v>198</v>
      </c>
      <c r="C76" s="133" t="s">
        <v>284</v>
      </c>
      <c r="D76" s="134">
        <v>53744.4</v>
      </c>
      <c r="E76" s="134">
        <v>53744.4</v>
      </c>
      <c r="F76" s="259">
        <v>56872.800000000003</v>
      </c>
      <c r="G76" s="259">
        <v>56872.800000000003</v>
      </c>
      <c r="H76" s="76">
        <v>48258.95</v>
      </c>
      <c r="I76" s="76">
        <v>48258.95</v>
      </c>
      <c r="J76" s="76">
        <v>45216.1</v>
      </c>
      <c r="K76" s="502">
        <v>45789.2</v>
      </c>
      <c r="L76" s="76">
        <v>44597.09</v>
      </c>
      <c r="M76" s="76">
        <v>27921</v>
      </c>
      <c r="N76" s="237"/>
      <c r="O76" s="19"/>
    </row>
    <row r="77" spans="1:15" ht="15.75" customHeight="1">
      <c r="A77" s="138" t="s">
        <v>264</v>
      </c>
      <c r="B77" s="133" t="s">
        <v>200</v>
      </c>
      <c r="C77" s="133" t="s">
        <v>285</v>
      </c>
      <c r="D77" s="259">
        <f>0.08*D76</f>
        <v>4299.5520000000006</v>
      </c>
      <c r="E77" s="259">
        <f>0.08*E76</f>
        <v>4299.5520000000006</v>
      </c>
      <c r="F77" s="259">
        <f>0.07*F76</f>
        <v>3981.0960000000005</v>
      </c>
      <c r="G77" s="259">
        <f>0.07*G76</f>
        <v>3981.0960000000005</v>
      </c>
      <c r="H77" s="76">
        <v>3378.13</v>
      </c>
      <c r="I77" s="76">
        <v>3378.13</v>
      </c>
      <c r="J77" s="76">
        <v>3165.13</v>
      </c>
      <c r="K77" s="502"/>
      <c r="L77" s="76">
        <v>0</v>
      </c>
      <c r="M77" s="76">
        <f>M76*0.07</f>
        <v>1954.4700000000003</v>
      </c>
      <c r="N77" s="237"/>
      <c r="O77" s="19"/>
    </row>
    <row r="78" spans="1:15" ht="15.75" customHeight="1">
      <c r="A78" s="138" t="s">
        <v>264</v>
      </c>
      <c r="B78" s="133" t="s">
        <v>202</v>
      </c>
      <c r="C78" s="133" t="s">
        <v>286</v>
      </c>
      <c r="D78" s="259"/>
      <c r="E78" s="259"/>
      <c r="F78" s="259">
        <v>3900</v>
      </c>
      <c r="G78" s="259">
        <v>3900</v>
      </c>
      <c r="H78" s="76">
        <v>3900</v>
      </c>
      <c r="I78" s="76">
        <v>3900</v>
      </c>
      <c r="J78" s="84" t="s">
        <v>44</v>
      </c>
      <c r="K78" s="502"/>
      <c r="L78" s="76">
        <v>0</v>
      </c>
      <c r="M78" s="84" t="s">
        <v>44</v>
      </c>
      <c r="N78" s="237"/>
      <c r="O78" s="19"/>
    </row>
    <row r="79" spans="1:15" ht="15.75" customHeight="1">
      <c r="A79" s="138" t="s">
        <v>264</v>
      </c>
      <c r="B79" s="133" t="s">
        <v>239</v>
      </c>
      <c r="C79" s="133" t="s">
        <v>287</v>
      </c>
      <c r="D79" s="134">
        <v>50</v>
      </c>
      <c r="E79" s="134">
        <v>50</v>
      </c>
      <c r="F79" s="259">
        <v>50</v>
      </c>
      <c r="G79" s="259">
        <v>50</v>
      </c>
      <c r="H79" s="76">
        <v>50</v>
      </c>
      <c r="I79" s="76">
        <v>50</v>
      </c>
      <c r="J79" s="76">
        <v>60</v>
      </c>
      <c r="K79" s="502"/>
      <c r="L79" s="76">
        <v>0</v>
      </c>
      <c r="M79" s="84" t="s">
        <v>44</v>
      </c>
      <c r="N79" s="237"/>
      <c r="O79" s="19"/>
    </row>
    <row r="80" spans="1:15" ht="15.75" customHeight="1">
      <c r="A80" s="2"/>
      <c r="B80" s="133" t="s">
        <v>204</v>
      </c>
      <c r="C80" s="133" t="s">
        <v>288</v>
      </c>
      <c r="D80" s="259"/>
      <c r="E80" s="259"/>
      <c r="F80" s="259">
        <v>0</v>
      </c>
      <c r="G80" s="259">
        <v>0</v>
      </c>
      <c r="H80" s="238">
        <v>0</v>
      </c>
      <c r="I80" s="238">
        <v>0</v>
      </c>
      <c r="J80" s="238">
        <v>0</v>
      </c>
      <c r="K80" s="502"/>
      <c r="L80" s="76">
        <v>0</v>
      </c>
      <c r="M80" s="238">
        <v>0</v>
      </c>
      <c r="N80" s="237"/>
      <c r="O80" s="19"/>
    </row>
    <row r="81" spans="1:15" ht="15.75" customHeight="1">
      <c r="A81" s="138" t="s">
        <v>289</v>
      </c>
      <c r="B81" s="133" t="s">
        <v>206</v>
      </c>
      <c r="C81" s="133" t="s">
        <v>290</v>
      </c>
      <c r="D81" s="134">
        <v>200</v>
      </c>
      <c r="E81" s="134">
        <v>200</v>
      </c>
      <c r="F81" s="259">
        <v>200</v>
      </c>
      <c r="G81" s="259">
        <v>200</v>
      </c>
      <c r="H81" s="76">
        <v>50</v>
      </c>
      <c r="I81" s="76">
        <v>50</v>
      </c>
      <c r="J81" s="76">
        <v>150</v>
      </c>
      <c r="K81" s="502">
        <v>101.25</v>
      </c>
      <c r="L81" s="76">
        <v>0</v>
      </c>
      <c r="M81" s="76">
        <v>8.9499999999999993</v>
      </c>
      <c r="N81" s="237"/>
      <c r="O81" s="19"/>
    </row>
    <row r="82" spans="1:15" ht="15.75" customHeight="1">
      <c r="A82" s="138" t="s">
        <v>264</v>
      </c>
      <c r="B82" s="133" t="s">
        <v>167</v>
      </c>
      <c r="C82" s="133" t="s">
        <v>291</v>
      </c>
      <c r="D82" s="134">
        <v>100</v>
      </c>
      <c r="E82" s="134">
        <v>100</v>
      </c>
      <c r="F82" s="259">
        <v>100</v>
      </c>
      <c r="G82" s="259">
        <v>100</v>
      </c>
      <c r="H82" s="76">
        <v>100</v>
      </c>
      <c r="I82" s="76">
        <v>100</v>
      </c>
      <c r="J82" s="76">
        <v>80</v>
      </c>
      <c r="K82" s="502"/>
      <c r="L82" s="76">
        <v>0</v>
      </c>
      <c r="M82" s="84" t="s">
        <v>44</v>
      </c>
      <c r="N82" s="237"/>
      <c r="O82" s="19"/>
    </row>
    <row r="83" spans="1:15" ht="15.75" customHeight="1">
      <c r="A83" s="138" t="s">
        <v>264</v>
      </c>
      <c r="B83" s="133" t="s">
        <v>169</v>
      </c>
      <c r="C83" s="133" t="s">
        <v>292</v>
      </c>
      <c r="D83" s="134">
        <v>25</v>
      </c>
      <c r="E83" s="134">
        <v>25</v>
      </c>
      <c r="F83" s="259">
        <v>25</v>
      </c>
      <c r="G83" s="259">
        <v>25</v>
      </c>
      <c r="H83" s="76">
        <v>25</v>
      </c>
      <c r="I83" s="76">
        <v>25</v>
      </c>
      <c r="J83" s="76">
        <v>100</v>
      </c>
      <c r="K83" s="502"/>
      <c r="L83" s="76">
        <v>0</v>
      </c>
      <c r="M83" s="84" t="s">
        <v>44</v>
      </c>
      <c r="N83" s="237"/>
      <c r="O83" s="19"/>
    </row>
    <row r="84" spans="1:15" ht="15.75" customHeight="1">
      <c r="A84" s="138" t="s">
        <v>264</v>
      </c>
      <c r="B84" s="133" t="s">
        <v>218</v>
      </c>
      <c r="C84" s="133" t="s">
        <v>293</v>
      </c>
      <c r="D84" s="134">
        <v>50</v>
      </c>
      <c r="E84" s="134">
        <v>50</v>
      </c>
      <c r="F84" s="259">
        <v>50</v>
      </c>
      <c r="G84" s="259">
        <v>50</v>
      </c>
      <c r="H84" s="76">
        <v>4500</v>
      </c>
      <c r="I84" s="76">
        <v>4500</v>
      </c>
      <c r="J84" s="84" t="s">
        <v>44</v>
      </c>
      <c r="K84" s="502"/>
      <c r="L84" s="76">
        <v>0</v>
      </c>
      <c r="M84" s="84" t="s">
        <v>44</v>
      </c>
      <c r="N84" s="237"/>
      <c r="O84" s="19"/>
    </row>
    <row r="85" spans="1:15" ht="15.75" customHeight="1">
      <c r="A85" s="138" t="s">
        <v>294</v>
      </c>
      <c r="B85" s="133" t="s">
        <v>295</v>
      </c>
      <c r="C85" s="133" t="s">
        <v>296</v>
      </c>
      <c r="D85" s="259">
        <v>1000</v>
      </c>
      <c r="E85" s="259">
        <v>1000</v>
      </c>
      <c r="F85" s="259">
        <v>1000</v>
      </c>
      <c r="G85" s="259">
        <v>1000</v>
      </c>
      <c r="H85" s="238">
        <v>0</v>
      </c>
      <c r="I85" s="238">
        <v>0</v>
      </c>
      <c r="J85" s="238">
        <v>0</v>
      </c>
      <c r="K85" s="502"/>
      <c r="L85" s="76">
        <v>0</v>
      </c>
      <c r="M85" s="238">
        <v>0</v>
      </c>
      <c r="N85" s="237"/>
      <c r="O85" s="19"/>
    </row>
    <row r="86" spans="1:15" ht="15.75" customHeight="1">
      <c r="A86" s="138" t="s">
        <v>297</v>
      </c>
      <c r="B86" s="133" t="s">
        <v>236</v>
      </c>
      <c r="C86" s="133" t="s">
        <v>298</v>
      </c>
      <c r="D86" s="134">
        <v>500</v>
      </c>
      <c r="E86" s="134">
        <v>500</v>
      </c>
      <c r="F86" s="259">
        <v>500</v>
      </c>
      <c r="G86" s="259">
        <v>500</v>
      </c>
      <c r="H86" s="76">
        <v>200</v>
      </c>
      <c r="I86" s="76">
        <v>200</v>
      </c>
      <c r="J86" s="76">
        <v>280</v>
      </c>
      <c r="K86" s="502">
        <v>510</v>
      </c>
      <c r="L86" s="76">
        <v>415.52</v>
      </c>
      <c r="M86" s="76">
        <v>210</v>
      </c>
      <c r="N86" s="237"/>
      <c r="O86" s="19"/>
    </row>
    <row r="87" spans="1:15" ht="15.75" customHeight="1">
      <c r="A87" s="2"/>
      <c r="B87" s="252" t="s">
        <v>299</v>
      </c>
      <c r="C87" s="254"/>
      <c r="D87" s="134"/>
      <c r="E87" s="134"/>
      <c r="F87" s="134"/>
      <c r="G87" s="134"/>
      <c r="H87" s="134"/>
      <c r="I87" s="134"/>
      <c r="J87" s="134"/>
      <c r="K87" s="502"/>
      <c r="L87" s="76">
        <v>0</v>
      </c>
      <c r="M87" s="238"/>
      <c r="N87" s="237"/>
      <c r="O87" s="19"/>
    </row>
    <row r="88" spans="1:15" ht="15.75" customHeight="1">
      <c r="A88" s="138" t="s">
        <v>300</v>
      </c>
      <c r="B88" s="133" t="s">
        <v>301</v>
      </c>
      <c r="C88" s="133" t="s">
        <v>302</v>
      </c>
      <c r="D88" s="134">
        <v>3500</v>
      </c>
      <c r="E88" s="134">
        <v>3500</v>
      </c>
      <c r="F88" s="259">
        <v>3500</v>
      </c>
      <c r="G88" s="259">
        <v>3500</v>
      </c>
      <c r="H88" s="76">
        <v>3500</v>
      </c>
      <c r="I88" s="76">
        <v>3350</v>
      </c>
      <c r="J88" s="84" t="s">
        <v>44</v>
      </c>
      <c r="K88" s="502">
        <v>2145.2800000000002</v>
      </c>
      <c r="L88" s="76">
        <v>536.19000000000005</v>
      </c>
      <c r="M88" s="84" t="s">
        <v>44</v>
      </c>
      <c r="N88" s="237"/>
      <c r="O88" s="19"/>
    </row>
    <row r="89" spans="1:15" ht="15.75" customHeight="1">
      <c r="A89" s="260" t="s">
        <v>303</v>
      </c>
      <c r="B89" s="133" t="s">
        <v>304</v>
      </c>
      <c r="C89" s="133" t="s">
        <v>305</v>
      </c>
      <c r="D89" s="134">
        <v>3000</v>
      </c>
      <c r="E89" s="134">
        <v>3000</v>
      </c>
      <c r="F89" s="259">
        <v>3000</v>
      </c>
      <c r="G89" s="259">
        <v>3000</v>
      </c>
      <c r="H89" s="76">
        <v>900</v>
      </c>
      <c r="I89" s="76">
        <v>900</v>
      </c>
      <c r="J89" s="76">
        <v>900</v>
      </c>
      <c r="K89" s="502">
        <v>895.3</v>
      </c>
      <c r="L89" s="76">
        <v>4874.63</v>
      </c>
      <c r="M89" s="76">
        <v>0</v>
      </c>
      <c r="N89" s="237"/>
      <c r="O89" s="19"/>
    </row>
    <row r="90" spans="1:15" ht="15.75" customHeight="1">
      <c r="A90" s="122" t="s">
        <v>306</v>
      </c>
      <c r="B90" s="133" t="s">
        <v>307</v>
      </c>
      <c r="C90" s="133" t="s">
        <v>308</v>
      </c>
      <c r="D90" s="134">
        <v>13000</v>
      </c>
      <c r="E90" s="134">
        <v>13000</v>
      </c>
      <c r="F90" s="259">
        <v>13000</v>
      </c>
      <c r="G90" s="259">
        <v>14000</v>
      </c>
      <c r="H90" s="76">
        <v>14000</v>
      </c>
      <c r="I90" s="76">
        <v>9500</v>
      </c>
      <c r="J90" s="76">
        <v>9400</v>
      </c>
      <c r="K90" s="502">
        <v>9744.76</v>
      </c>
      <c r="L90" s="76">
        <v>11270.63</v>
      </c>
      <c r="M90" s="76">
        <v>4221</v>
      </c>
      <c r="N90" s="237"/>
      <c r="O90" s="19"/>
    </row>
    <row r="91" spans="1:15" ht="15.75" customHeight="1">
      <c r="A91" s="262" t="s">
        <v>309</v>
      </c>
      <c r="B91" s="133" t="s">
        <v>310</v>
      </c>
      <c r="C91" s="264" t="s">
        <v>311</v>
      </c>
      <c r="D91" s="82">
        <v>3000</v>
      </c>
      <c r="E91" s="82">
        <v>3000</v>
      </c>
      <c r="F91" s="259">
        <v>3000</v>
      </c>
      <c r="G91" s="259">
        <v>3000</v>
      </c>
      <c r="H91" s="76">
        <v>2000</v>
      </c>
      <c r="I91" s="76">
        <v>2000</v>
      </c>
      <c r="J91" s="76">
        <v>5850</v>
      </c>
      <c r="K91" s="502">
        <v>2825.27</v>
      </c>
      <c r="L91" s="76">
        <v>1922.72</v>
      </c>
      <c r="M91" s="76">
        <v>2684.93</v>
      </c>
      <c r="N91" s="237"/>
      <c r="O91" s="19"/>
    </row>
    <row r="92" spans="1:15" ht="15.75" customHeight="1">
      <c r="A92" s="2"/>
      <c r="B92" s="128" t="s">
        <v>312</v>
      </c>
      <c r="C92" s="128" t="s">
        <v>313</v>
      </c>
      <c r="D92" s="120">
        <v>0</v>
      </c>
      <c r="E92" s="120">
        <v>0</v>
      </c>
      <c r="F92" s="120">
        <v>0</v>
      </c>
      <c r="G92" s="120">
        <v>0</v>
      </c>
      <c r="H92" s="265">
        <v>0</v>
      </c>
      <c r="I92" s="265">
        <v>0</v>
      </c>
      <c r="J92" s="265">
        <v>0</v>
      </c>
      <c r="K92" s="503"/>
      <c r="L92" s="120">
        <v>0</v>
      </c>
      <c r="M92" s="265">
        <v>0</v>
      </c>
      <c r="N92" s="237"/>
      <c r="O92" s="19"/>
    </row>
    <row r="93" spans="1:15" ht="15.75" customHeight="1">
      <c r="A93" s="2"/>
      <c r="B93" s="239"/>
      <c r="C93" s="54" t="s">
        <v>197</v>
      </c>
      <c r="D93" s="240">
        <f>SUM(D63:D92)</f>
        <v>131907.182</v>
      </c>
      <c r="E93" s="240">
        <f>SUM(E63:E92)</f>
        <v>131907.182</v>
      </c>
      <c r="F93" s="240">
        <f>SUM(F63:F92)</f>
        <v>136973.30600000001</v>
      </c>
      <c r="G93" s="41">
        <f>SUM(G63:G92)</f>
        <v>137973.30600000001</v>
      </c>
      <c r="H93" s="41">
        <f>SUM(H63:H91)</f>
        <v>128656.49</v>
      </c>
      <c r="I93" s="41">
        <f>SUM(I63:I91)</f>
        <v>123956.49</v>
      </c>
      <c r="J93" s="41">
        <f>SUM(J63:J91)</f>
        <v>111733.23000000001</v>
      </c>
      <c r="K93" s="519">
        <f>SUM(K63:K92)</f>
        <v>116777.71</v>
      </c>
      <c r="L93" s="41">
        <v>110306.25</v>
      </c>
      <c r="M93" s="41">
        <f>SUM(M63:M91)</f>
        <v>84576.48</v>
      </c>
      <c r="N93" s="237"/>
      <c r="O93" s="19"/>
    </row>
    <row r="94" spans="1:15" ht="15.75" customHeight="1">
      <c r="A94" s="2"/>
      <c r="B94" s="171" t="s">
        <v>314</v>
      </c>
      <c r="C94" s="258"/>
      <c r="D94" s="258"/>
      <c r="E94" s="258"/>
      <c r="F94" s="258"/>
      <c r="G94" s="11"/>
      <c r="H94" s="11"/>
      <c r="I94" s="11"/>
      <c r="J94" s="11"/>
      <c r="K94" s="502"/>
      <c r="L94" s="70"/>
      <c r="M94" s="11"/>
      <c r="N94" s="237"/>
      <c r="O94" s="19"/>
    </row>
    <row r="95" spans="1:15" ht="15.75" customHeight="1">
      <c r="A95" s="266" t="s">
        <v>315</v>
      </c>
      <c r="B95" s="267"/>
      <c r="C95" s="133" t="s">
        <v>316</v>
      </c>
      <c r="D95" s="76"/>
      <c r="E95" s="76"/>
      <c r="F95" s="76">
        <v>0</v>
      </c>
      <c r="G95" s="76">
        <v>0</v>
      </c>
      <c r="H95" s="76"/>
      <c r="I95" s="76"/>
      <c r="J95" s="76"/>
      <c r="K95" s="502"/>
      <c r="L95" s="76">
        <v>52.5</v>
      </c>
      <c r="M95" s="76"/>
      <c r="N95" s="237"/>
      <c r="O95" s="19"/>
    </row>
    <row r="96" spans="1:15" ht="15.75" customHeight="1">
      <c r="A96" s="2"/>
      <c r="B96" s="133" t="s">
        <v>198</v>
      </c>
      <c r="C96" s="133" t="s">
        <v>317</v>
      </c>
      <c r="D96" s="76">
        <v>37652.9</v>
      </c>
      <c r="E96" s="76">
        <v>37652.9</v>
      </c>
      <c r="F96" s="76">
        <v>36663</v>
      </c>
      <c r="G96" s="76">
        <v>36663</v>
      </c>
      <c r="H96" s="76">
        <v>36663</v>
      </c>
      <c r="I96" s="76">
        <v>36663</v>
      </c>
      <c r="J96" s="76">
        <v>36400</v>
      </c>
      <c r="K96" s="502">
        <v>46556.58</v>
      </c>
      <c r="L96" s="76">
        <v>36662.959999999999</v>
      </c>
      <c r="M96" s="76">
        <v>26785.53</v>
      </c>
      <c r="N96" s="237"/>
      <c r="O96" s="19"/>
    </row>
    <row r="97" spans="1:15" ht="15.75" customHeight="1">
      <c r="A97" s="268">
        <f>F97/F96</f>
        <v>0.16819163734555273</v>
      </c>
      <c r="B97" s="133" t="s">
        <v>200</v>
      </c>
      <c r="C97" s="133" t="s">
        <v>318</v>
      </c>
      <c r="D97" s="76">
        <v>8015.33</v>
      </c>
      <c r="E97" s="76">
        <v>8015.33</v>
      </c>
      <c r="F97" s="76">
        <v>6166.41</v>
      </c>
      <c r="G97" s="76">
        <v>6166.41</v>
      </c>
      <c r="H97" s="76">
        <v>6166.41</v>
      </c>
      <c r="I97" s="76">
        <v>6166.41</v>
      </c>
      <c r="J97" s="76">
        <v>5092</v>
      </c>
      <c r="K97" s="502">
        <v>11428.14</v>
      </c>
      <c r="L97" s="76">
        <v>9918.36</v>
      </c>
      <c r="M97" s="76">
        <v>5961.97</v>
      </c>
      <c r="N97" s="237"/>
      <c r="O97" s="19"/>
    </row>
    <row r="98" spans="1:15" ht="15.75" customHeight="1">
      <c r="A98" s="2"/>
      <c r="B98" s="133" t="s">
        <v>204</v>
      </c>
      <c r="C98" s="133" t="s">
        <v>319</v>
      </c>
      <c r="D98" s="76">
        <v>740</v>
      </c>
      <c r="E98" s="76">
        <v>740</v>
      </c>
      <c r="F98" s="76">
        <v>1260</v>
      </c>
      <c r="G98" s="76">
        <v>1260</v>
      </c>
      <c r="H98" s="76">
        <v>1260</v>
      </c>
      <c r="I98" s="76">
        <v>1260</v>
      </c>
      <c r="J98" s="76">
        <v>600</v>
      </c>
      <c r="K98" s="502">
        <v>965.79</v>
      </c>
      <c r="L98" s="76">
        <v>736.88</v>
      </c>
      <c r="M98" s="76">
        <v>601.58000000000004</v>
      </c>
      <c r="N98" s="242"/>
      <c r="O98" s="19"/>
    </row>
    <row r="99" spans="1:15" ht="15.75" customHeight="1">
      <c r="A99" s="2"/>
      <c r="B99" s="133" t="s">
        <v>206</v>
      </c>
      <c r="C99" s="133" t="s">
        <v>320</v>
      </c>
      <c r="D99" s="76">
        <v>200</v>
      </c>
      <c r="E99" s="76">
        <v>200</v>
      </c>
      <c r="F99" s="76">
        <v>100</v>
      </c>
      <c r="G99" s="76">
        <v>100</v>
      </c>
      <c r="H99" s="76">
        <v>100</v>
      </c>
      <c r="I99" s="76">
        <v>100</v>
      </c>
      <c r="J99" s="76">
        <v>100</v>
      </c>
      <c r="K99" s="502">
        <v>102.98</v>
      </c>
      <c r="L99" s="76">
        <v>16.38</v>
      </c>
      <c r="M99" s="76">
        <v>16.38</v>
      </c>
      <c r="N99" s="237"/>
      <c r="O99" s="19"/>
    </row>
    <row r="100" spans="1:15" ht="15.75" customHeight="1">
      <c r="A100" s="2"/>
      <c r="B100" s="133" t="s">
        <v>208</v>
      </c>
      <c r="C100" s="133" t="s">
        <v>321</v>
      </c>
      <c r="D100" s="76">
        <v>25</v>
      </c>
      <c r="E100" s="76">
        <v>25</v>
      </c>
      <c r="F100" s="76">
        <v>25</v>
      </c>
      <c r="G100" s="76">
        <v>25</v>
      </c>
      <c r="H100" s="76">
        <v>25</v>
      </c>
      <c r="I100" s="76">
        <v>25</v>
      </c>
      <c r="J100" s="76">
        <v>25</v>
      </c>
      <c r="K100" s="502">
        <v>1.3</v>
      </c>
      <c r="L100" s="76">
        <v>0</v>
      </c>
      <c r="M100" s="84" t="s">
        <v>44</v>
      </c>
      <c r="N100" s="237"/>
      <c r="O100" s="19"/>
    </row>
    <row r="101" spans="1:15" ht="15.75" customHeight="1">
      <c r="A101" s="2"/>
      <c r="B101" s="133" t="s">
        <v>167</v>
      </c>
      <c r="C101" s="133" t="s">
        <v>322</v>
      </c>
      <c r="D101" s="76">
        <v>500</v>
      </c>
      <c r="E101" s="76">
        <v>500</v>
      </c>
      <c r="F101" s="76">
        <v>500</v>
      </c>
      <c r="G101" s="76">
        <v>500</v>
      </c>
      <c r="H101" s="76">
        <v>150</v>
      </c>
      <c r="I101" s="76">
        <v>150</v>
      </c>
      <c r="J101" s="76">
        <v>150</v>
      </c>
      <c r="K101" s="502">
        <v>15096.94</v>
      </c>
      <c r="L101" s="76">
        <v>1463</v>
      </c>
      <c r="M101" s="76">
        <v>1521.73</v>
      </c>
      <c r="N101" s="242"/>
      <c r="O101" s="19"/>
    </row>
    <row r="102" spans="1:15" ht="15.75" customHeight="1">
      <c r="A102" s="2"/>
      <c r="B102" s="133" t="s">
        <v>169</v>
      </c>
      <c r="C102" s="133" t="s">
        <v>323</v>
      </c>
      <c r="D102" s="76">
        <v>300</v>
      </c>
      <c r="E102" s="76">
        <v>300</v>
      </c>
      <c r="F102" s="76">
        <v>25</v>
      </c>
      <c r="G102" s="76">
        <v>25</v>
      </c>
      <c r="H102" s="76">
        <v>25</v>
      </c>
      <c r="I102" s="76">
        <v>25</v>
      </c>
      <c r="J102" s="76">
        <v>150</v>
      </c>
      <c r="K102" s="502">
        <v>187.98</v>
      </c>
      <c r="L102" s="76">
        <v>12.36</v>
      </c>
      <c r="M102" s="76">
        <v>1.08</v>
      </c>
      <c r="N102" s="237"/>
      <c r="O102" s="19"/>
    </row>
    <row r="103" spans="1:15" ht="15.75" customHeight="1">
      <c r="A103" s="2"/>
      <c r="B103" s="133" t="s">
        <v>212</v>
      </c>
      <c r="C103" s="133" t="s">
        <v>324</v>
      </c>
      <c r="D103" s="76">
        <v>3000</v>
      </c>
      <c r="E103" s="76">
        <v>3000</v>
      </c>
      <c r="F103" s="76">
        <v>3000</v>
      </c>
      <c r="G103" s="76">
        <v>3000</v>
      </c>
      <c r="H103" s="76">
        <v>3000</v>
      </c>
      <c r="I103" s="76">
        <v>3000</v>
      </c>
      <c r="J103" s="76">
        <v>3000</v>
      </c>
      <c r="K103" s="502">
        <v>195.3</v>
      </c>
      <c r="L103" s="76">
        <v>689.33</v>
      </c>
      <c r="M103" s="76">
        <v>311.24</v>
      </c>
      <c r="N103" s="237"/>
      <c r="O103" s="19"/>
    </row>
    <row r="104" spans="1:15" ht="15.75" customHeight="1">
      <c r="A104" s="2"/>
      <c r="B104" s="133" t="s">
        <v>276</v>
      </c>
      <c r="C104" s="133" t="s">
        <v>325</v>
      </c>
      <c r="D104" s="76">
        <v>500</v>
      </c>
      <c r="E104" s="76">
        <v>500</v>
      </c>
      <c r="F104" s="76">
        <v>0</v>
      </c>
      <c r="G104" s="76">
        <v>0</v>
      </c>
      <c r="H104" s="84" t="s">
        <v>44</v>
      </c>
      <c r="I104" s="84" t="s">
        <v>44</v>
      </c>
      <c r="J104" s="76">
        <v>20</v>
      </c>
      <c r="K104" s="502">
        <v>761.6</v>
      </c>
      <c r="L104" s="76">
        <v>0</v>
      </c>
      <c r="M104" s="84" t="s">
        <v>44</v>
      </c>
      <c r="N104" s="237"/>
      <c r="O104" s="19"/>
    </row>
    <row r="105" spans="1:15" ht="15.75" customHeight="1">
      <c r="A105" s="2"/>
      <c r="B105" s="133" t="s">
        <v>218</v>
      </c>
      <c r="C105" s="133" t="s">
        <v>326</v>
      </c>
      <c r="D105" s="76">
        <v>0</v>
      </c>
      <c r="E105" s="76">
        <v>0</v>
      </c>
      <c r="F105" s="76">
        <v>0</v>
      </c>
      <c r="G105" s="76">
        <v>0</v>
      </c>
      <c r="H105" s="84" t="s">
        <v>44</v>
      </c>
      <c r="I105" s="84" t="s">
        <v>44</v>
      </c>
      <c r="J105" s="76">
        <v>150</v>
      </c>
      <c r="K105" s="502"/>
      <c r="L105" s="76">
        <v>0</v>
      </c>
      <c r="M105" s="84" t="s">
        <v>44</v>
      </c>
      <c r="N105" s="237"/>
      <c r="O105" s="19"/>
    </row>
    <row r="106" spans="1:15" ht="15.75" customHeight="1">
      <c r="A106" s="2"/>
      <c r="B106" s="133" t="s">
        <v>223</v>
      </c>
      <c r="C106" s="133" t="s">
        <v>327</v>
      </c>
      <c r="D106" s="76">
        <v>0</v>
      </c>
      <c r="E106" s="76">
        <v>0</v>
      </c>
      <c r="F106" s="76">
        <v>100</v>
      </c>
      <c r="G106" s="76">
        <v>100</v>
      </c>
      <c r="H106" s="76">
        <v>100</v>
      </c>
      <c r="I106" s="76">
        <v>100</v>
      </c>
      <c r="J106" s="84" t="s">
        <v>44</v>
      </c>
      <c r="K106" s="502">
        <v>168.5</v>
      </c>
      <c r="L106" s="76">
        <v>0</v>
      </c>
      <c r="M106" s="84" t="s">
        <v>44</v>
      </c>
      <c r="N106" s="237"/>
      <c r="O106" s="19"/>
    </row>
    <row r="107" spans="1:15" ht="15.75" customHeight="1">
      <c r="A107" s="2"/>
      <c r="B107" s="133" t="s">
        <v>202</v>
      </c>
      <c r="C107" s="133" t="s">
        <v>328</v>
      </c>
      <c r="D107" s="76">
        <v>0</v>
      </c>
      <c r="E107" s="76">
        <v>0</v>
      </c>
      <c r="F107" s="76">
        <v>7800</v>
      </c>
      <c r="G107" s="76">
        <v>7800</v>
      </c>
      <c r="H107" s="76">
        <v>7800</v>
      </c>
      <c r="I107" s="76">
        <v>7800</v>
      </c>
      <c r="J107" s="134"/>
      <c r="K107" s="502">
        <v>4054.83</v>
      </c>
      <c r="L107" s="76">
        <v>0</v>
      </c>
      <c r="M107" s="134"/>
      <c r="N107" s="237"/>
      <c r="O107" s="19"/>
    </row>
    <row r="108" spans="1:15" ht="15.75" customHeight="1">
      <c r="A108" s="2"/>
      <c r="B108" s="133" t="s">
        <v>220</v>
      </c>
      <c r="C108" s="133" t="s">
        <v>329</v>
      </c>
      <c r="D108" s="76">
        <v>1850</v>
      </c>
      <c r="E108" s="76">
        <v>1850</v>
      </c>
      <c r="F108" s="76">
        <v>1200</v>
      </c>
      <c r="G108" s="76">
        <v>1200</v>
      </c>
      <c r="H108" s="76">
        <v>1200</v>
      </c>
      <c r="I108" s="76">
        <v>1200</v>
      </c>
      <c r="J108" s="76">
        <v>1265</v>
      </c>
      <c r="K108" s="502">
        <v>584.59</v>
      </c>
      <c r="L108" s="76">
        <v>658.28</v>
      </c>
      <c r="M108" s="76">
        <v>658.28</v>
      </c>
      <c r="N108" s="237"/>
      <c r="O108" s="19"/>
    </row>
    <row r="109" spans="1:15" ht="15.75" customHeight="1">
      <c r="A109" s="2"/>
      <c r="B109" s="252" t="s">
        <v>330</v>
      </c>
      <c r="C109" s="254"/>
      <c r="D109" s="134"/>
      <c r="E109" s="134"/>
      <c r="F109" s="134"/>
      <c r="G109" s="134"/>
      <c r="H109" s="134"/>
      <c r="I109" s="134"/>
      <c r="J109" s="134"/>
      <c r="K109" s="502"/>
      <c r="L109" s="76">
        <v>0</v>
      </c>
      <c r="M109" s="134"/>
      <c r="N109" s="237"/>
      <c r="O109" s="19"/>
    </row>
    <row r="110" spans="1:15" ht="15.75" customHeight="1">
      <c r="A110" s="2"/>
      <c r="B110" s="133" t="s">
        <v>331</v>
      </c>
      <c r="C110" s="133" t="s">
        <v>332</v>
      </c>
      <c r="D110" s="76">
        <v>55153.72</v>
      </c>
      <c r="E110" s="76">
        <v>55153.72</v>
      </c>
      <c r="F110" s="76">
        <v>58011.3</v>
      </c>
      <c r="G110" s="76">
        <v>58011.3</v>
      </c>
      <c r="H110" s="76">
        <v>46766.2</v>
      </c>
      <c r="I110" s="76">
        <v>46766.2</v>
      </c>
      <c r="J110" s="76">
        <v>56356.65</v>
      </c>
      <c r="K110" s="502">
        <v>106050.65</v>
      </c>
      <c r="L110" s="76">
        <v>25455.599999999999</v>
      </c>
      <c r="M110" s="76">
        <v>45047.6</v>
      </c>
      <c r="N110" s="237"/>
      <c r="O110" s="19"/>
    </row>
    <row r="111" spans="1:15" ht="15.75" customHeight="1">
      <c r="A111" s="2"/>
      <c r="B111" s="133" t="s">
        <v>200</v>
      </c>
      <c r="C111" s="133" t="s">
        <v>333</v>
      </c>
      <c r="D111" s="76">
        <v>4412.24</v>
      </c>
      <c r="E111" s="76">
        <v>4412.24</v>
      </c>
      <c r="F111" s="76">
        <f>F110*0.07</f>
        <v>4060.7910000000006</v>
      </c>
      <c r="G111" s="76">
        <f>G110*0.07</f>
        <v>4060.7910000000006</v>
      </c>
      <c r="H111" s="76">
        <v>3273.63</v>
      </c>
      <c r="I111" s="76">
        <v>3273.63</v>
      </c>
      <c r="J111" s="76">
        <v>3944.97</v>
      </c>
      <c r="K111" s="502"/>
      <c r="L111" s="76">
        <v>0</v>
      </c>
      <c r="M111" s="76">
        <f>M110*0.07</f>
        <v>3153.3320000000003</v>
      </c>
      <c r="N111" s="237"/>
      <c r="O111" s="19"/>
    </row>
    <row r="112" spans="1:15" ht="15.75" customHeight="1">
      <c r="A112" s="2"/>
      <c r="B112" s="133" t="s">
        <v>204</v>
      </c>
      <c r="C112" s="133" t="s">
        <v>334</v>
      </c>
      <c r="D112" s="76">
        <v>300</v>
      </c>
      <c r="E112" s="76">
        <v>300</v>
      </c>
      <c r="F112" s="76">
        <v>300</v>
      </c>
      <c r="G112" s="76">
        <v>300</v>
      </c>
      <c r="H112" s="76">
        <v>300</v>
      </c>
      <c r="I112" s="76">
        <v>300</v>
      </c>
      <c r="J112" s="76">
        <v>720</v>
      </c>
      <c r="K112" s="502"/>
      <c r="L112" s="76">
        <v>90.2</v>
      </c>
      <c r="M112" s="76">
        <v>420.8</v>
      </c>
      <c r="N112" s="237"/>
      <c r="O112" s="19"/>
    </row>
    <row r="113" spans="1:15" ht="15.75" customHeight="1">
      <c r="A113" s="2"/>
      <c r="B113" s="133" t="s">
        <v>206</v>
      </c>
      <c r="C113" s="133" t="s">
        <v>335</v>
      </c>
      <c r="D113" s="76">
        <v>200</v>
      </c>
      <c r="E113" s="76">
        <v>200</v>
      </c>
      <c r="F113" s="76">
        <v>100</v>
      </c>
      <c r="G113" s="76">
        <v>100</v>
      </c>
      <c r="H113" s="76">
        <v>100</v>
      </c>
      <c r="I113" s="76">
        <v>100</v>
      </c>
      <c r="J113" s="76">
        <v>150</v>
      </c>
      <c r="K113" s="502"/>
      <c r="L113" s="76">
        <v>0</v>
      </c>
      <c r="M113" s="76">
        <v>67.2</v>
      </c>
      <c r="N113" s="237"/>
      <c r="O113" s="19"/>
    </row>
    <row r="114" spans="1:15" ht="15.75" customHeight="1">
      <c r="A114" s="2"/>
      <c r="B114" s="133" t="s">
        <v>169</v>
      </c>
      <c r="C114" s="133" t="s">
        <v>336</v>
      </c>
      <c r="D114" s="76">
        <v>0</v>
      </c>
      <c r="E114" s="76">
        <v>0</v>
      </c>
      <c r="F114" s="76">
        <v>200</v>
      </c>
      <c r="G114" s="76">
        <v>200</v>
      </c>
      <c r="H114" s="76">
        <v>300</v>
      </c>
      <c r="I114" s="76">
        <v>300</v>
      </c>
      <c r="J114" s="76">
        <v>900</v>
      </c>
      <c r="K114" s="502"/>
      <c r="L114" s="76">
        <v>0</v>
      </c>
      <c r="M114" s="76">
        <v>8.4</v>
      </c>
      <c r="N114" s="237"/>
      <c r="O114" s="19"/>
    </row>
    <row r="115" spans="1:15" ht="15.75" customHeight="1">
      <c r="A115" s="2"/>
      <c r="B115" s="133" t="s">
        <v>218</v>
      </c>
      <c r="C115" s="133" t="s">
        <v>337</v>
      </c>
      <c r="D115" s="76">
        <v>1500</v>
      </c>
      <c r="E115" s="76">
        <v>1500</v>
      </c>
      <c r="F115" s="76">
        <v>1200</v>
      </c>
      <c r="G115" s="76">
        <v>1200</v>
      </c>
      <c r="H115" s="76">
        <v>1200</v>
      </c>
      <c r="I115" s="76">
        <v>1200</v>
      </c>
      <c r="J115" s="76">
        <v>2981</v>
      </c>
      <c r="K115" s="502">
        <v>1190.7</v>
      </c>
      <c r="L115" s="76">
        <v>0</v>
      </c>
      <c r="M115" s="76">
        <v>-882.61</v>
      </c>
      <c r="N115" s="237"/>
      <c r="O115" s="19"/>
    </row>
    <row r="116" spans="1:15" ht="15.75" customHeight="1">
      <c r="A116" s="2"/>
      <c r="B116" s="133" t="s">
        <v>338</v>
      </c>
      <c r="C116" s="133" t="s">
        <v>339</v>
      </c>
      <c r="D116" s="76">
        <v>500</v>
      </c>
      <c r="E116" s="76">
        <v>500</v>
      </c>
      <c r="F116" s="76">
        <v>0</v>
      </c>
      <c r="G116" s="76">
        <v>0</v>
      </c>
      <c r="H116" s="76">
        <v>100</v>
      </c>
      <c r="I116" s="76">
        <v>100</v>
      </c>
      <c r="J116" s="76">
        <v>100</v>
      </c>
      <c r="K116" s="502"/>
      <c r="L116" s="76">
        <v>0</v>
      </c>
      <c r="M116" s="76">
        <v>0</v>
      </c>
      <c r="N116" s="237"/>
      <c r="O116" s="19"/>
    </row>
    <row r="117" spans="1:15" ht="15.75" customHeight="1">
      <c r="A117" s="2"/>
      <c r="B117" s="252" t="s">
        <v>340</v>
      </c>
      <c r="C117" s="254"/>
      <c r="D117" s="134"/>
      <c r="E117" s="134"/>
      <c r="F117" s="134"/>
      <c r="G117" s="134"/>
      <c r="H117" s="134"/>
      <c r="I117" s="134"/>
      <c r="J117" s="134"/>
      <c r="K117" s="502"/>
      <c r="L117" s="76">
        <v>0</v>
      </c>
      <c r="M117" s="134"/>
      <c r="N117" s="237"/>
      <c r="O117" s="19"/>
    </row>
    <row r="118" spans="1:15" ht="15.75" customHeight="1">
      <c r="A118" s="2"/>
      <c r="B118" s="133" t="s">
        <v>341</v>
      </c>
      <c r="C118" s="133" t="s">
        <v>342</v>
      </c>
      <c r="D118" s="76">
        <v>5000</v>
      </c>
      <c r="E118" s="76">
        <v>5000</v>
      </c>
      <c r="F118" s="76">
        <v>5000</v>
      </c>
      <c r="G118" s="76">
        <v>5000</v>
      </c>
      <c r="H118" s="76">
        <v>5000</v>
      </c>
      <c r="I118" s="76">
        <v>5000</v>
      </c>
      <c r="J118" s="76">
        <v>5000</v>
      </c>
      <c r="K118" s="502">
        <v>10352.790000000001</v>
      </c>
      <c r="L118" s="76">
        <v>3584</v>
      </c>
      <c r="M118" s="76">
        <v>4099.2</v>
      </c>
      <c r="N118" s="237"/>
      <c r="O118" s="19"/>
    </row>
    <row r="119" spans="1:15" ht="15.75" customHeight="1">
      <c r="A119" s="2"/>
      <c r="B119" s="133" t="s">
        <v>343</v>
      </c>
      <c r="C119" s="133" t="s">
        <v>344</v>
      </c>
      <c r="D119" s="76">
        <v>3500</v>
      </c>
      <c r="E119" s="76">
        <v>3500</v>
      </c>
      <c r="F119" s="76">
        <v>3000</v>
      </c>
      <c r="G119" s="76">
        <v>3000</v>
      </c>
      <c r="H119" s="76">
        <v>3000</v>
      </c>
      <c r="I119" s="76">
        <v>3000</v>
      </c>
      <c r="J119" s="76">
        <v>3000</v>
      </c>
      <c r="K119" s="502">
        <v>376.56</v>
      </c>
      <c r="L119" s="76">
        <v>3083.77</v>
      </c>
      <c r="M119" s="76">
        <v>3707.55</v>
      </c>
      <c r="N119" s="237"/>
      <c r="O119" s="19"/>
    </row>
    <row r="120" spans="1:15" ht="15.75" customHeight="1">
      <c r="A120" s="2"/>
      <c r="B120" s="244" t="s">
        <v>345</v>
      </c>
      <c r="C120" s="244" t="s">
        <v>346</v>
      </c>
      <c r="D120" s="76">
        <v>4000</v>
      </c>
      <c r="E120" s="76">
        <v>4000</v>
      </c>
      <c r="F120" s="76">
        <v>3000</v>
      </c>
      <c r="G120" s="76">
        <v>3000</v>
      </c>
      <c r="H120" s="76">
        <v>4000</v>
      </c>
      <c r="I120" s="76">
        <v>4000</v>
      </c>
      <c r="J120" s="76">
        <v>3500</v>
      </c>
      <c r="K120" s="502">
        <v>567.07000000000005</v>
      </c>
      <c r="L120" s="76">
        <v>0</v>
      </c>
      <c r="M120" s="76">
        <v>1783.69</v>
      </c>
      <c r="N120" s="237"/>
      <c r="O120" s="19"/>
    </row>
    <row r="121" spans="1:15" ht="15.75" customHeight="1">
      <c r="A121" s="2"/>
      <c r="B121" s="269" t="s">
        <v>347</v>
      </c>
      <c r="C121" s="270" t="s">
        <v>348</v>
      </c>
      <c r="D121" s="76">
        <v>500</v>
      </c>
      <c r="E121" s="76">
        <v>500</v>
      </c>
      <c r="F121" s="76"/>
      <c r="G121" s="76"/>
      <c r="H121" s="76"/>
      <c r="I121" s="76"/>
      <c r="J121" s="76"/>
      <c r="K121" s="502"/>
      <c r="L121" s="76"/>
      <c r="M121" s="76"/>
      <c r="N121" s="237"/>
      <c r="O121" s="19"/>
    </row>
    <row r="122" spans="1:15" ht="15.75" customHeight="1">
      <c r="A122" s="2"/>
      <c r="B122" s="269" t="s">
        <v>349</v>
      </c>
      <c r="C122" s="270" t="s">
        <v>348</v>
      </c>
      <c r="D122" s="134">
        <v>1681.39</v>
      </c>
      <c r="E122" s="134">
        <v>1681.39</v>
      </c>
      <c r="F122" s="134"/>
      <c r="G122" s="134"/>
      <c r="H122" s="76"/>
      <c r="I122" s="76"/>
      <c r="J122" s="76"/>
      <c r="K122" s="502"/>
      <c r="L122" s="76"/>
      <c r="M122" s="238"/>
      <c r="N122" s="22"/>
      <c r="O122" s="19"/>
    </row>
    <row r="123" spans="1:15" ht="15" customHeight="1">
      <c r="A123" s="2"/>
      <c r="B123" s="271" t="s">
        <v>350</v>
      </c>
      <c r="C123" s="271" t="s">
        <v>351</v>
      </c>
      <c r="D123" s="76">
        <v>200</v>
      </c>
      <c r="E123" s="76">
        <v>200</v>
      </c>
      <c r="F123" s="76">
        <v>200</v>
      </c>
      <c r="G123" s="76">
        <v>200</v>
      </c>
      <c r="H123" s="76">
        <v>200</v>
      </c>
      <c r="I123" s="76">
        <v>200</v>
      </c>
      <c r="J123" s="76">
        <v>500</v>
      </c>
      <c r="K123" s="502">
        <v>100</v>
      </c>
      <c r="L123" s="76">
        <v>0</v>
      </c>
      <c r="M123" s="84" t="s">
        <v>44</v>
      </c>
      <c r="N123" s="237"/>
      <c r="O123" s="19"/>
    </row>
    <row r="124" spans="1:15" ht="15.75" customHeight="1">
      <c r="A124" s="2"/>
      <c r="B124" s="272" t="s">
        <v>352</v>
      </c>
      <c r="C124" s="273" t="s">
        <v>348</v>
      </c>
      <c r="D124" s="134">
        <v>22803.200000000001</v>
      </c>
      <c r="E124" s="134">
        <v>22803.200000000001</v>
      </c>
      <c r="F124" s="134"/>
      <c r="G124" s="134"/>
      <c r="H124" s="134"/>
      <c r="I124" s="134"/>
      <c r="J124" s="134"/>
      <c r="K124" s="502"/>
      <c r="L124" s="76"/>
      <c r="M124" s="134"/>
      <c r="N124" s="237"/>
      <c r="O124" s="19"/>
    </row>
    <row r="125" spans="1:15" ht="15.75" customHeight="1">
      <c r="A125" s="2"/>
      <c r="B125" s="274" t="s">
        <v>353</v>
      </c>
      <c r="C125" s="275"/>
      <c r="D125" s="134"/>
      <c r="E125" s="134"/>
      <c r="F125" s="134"/>
      <c r="G125" s="134"/>
      <c r="H125" s="134"/>
      <c r="I125" s="134"/>
      <c r="J125" s="134"/>
      <c r="K125" s="502"/>
      <c r="L125" s="76">
        <v>0</v>
      </c>
      <c r="M125" s="134"/>
      <c r="N125" s="237"/>
      <c r="O125" s="19"/>
    </row>
    <row r="126" spans="1:15" ht="15.75" customHeight="1">
      <c r="A126" s="2"/>
      <c r="B126" s="133" t="s">
        <v>354</v>
      </c>
      <c r="C126" s="133" t="s">
        <v>355</v>
      </c>
      <c r="D126" s="76">
        <v>0</v>
      </c>
      <c r="E126" s="76">
        <v>0</v>
      </c>
      <c r="F126" s="76"/>
      <c r="G126" s="76"/>
      <c r="H126" s="76"/>
      <c r="I126" s="76"/>
      <c r="J126" s="76"/>
      <c r="K126" s="502">
        <v>-410</v>
      </c>
      <c r="L126" s="76"/>
      <c r="M126" s="76"/>
      <c r="N126" s="237"/>
      <c r="O126" s="19"/>
    </row>
    <row r="127" spans="1:15" ht="15.75" customHeight="1">
      <c r="A127" s="2"/>
      <c r="B127" s="133" t="s">
        <v>356</v>
      </c>
      <c r="C127" s="133" t="s">
        <v>357</v>
      </c>
      <c r="D127" s="76">
        <v>1500</v>
      </c>
      <c r="E127" s="76">
        <v>1500</v>
      </c>
      <c r="F127" s="76">
        <v>500</v>
      </c>
      <c r="G127" s="76">
        <v>500</v>
      </c>
      <c r="H127" s="76">
        <v>500</v>
      </c>
      <c r="I127" s="76">
        <v>500</v>
      </c>
      <c r="J127" s="76">
        <v>500</v>
      </c>
      <c r="K127" s="502">
        <v>505.44</v>
      </c>
      <c r="L127" s="76">
        <v>63</v>
      </c>
      <c r="M127" s="76">
        <v>75.12</v>
      </c>
      <c r="N127" s="237"/>
      <c r="O127" s="19"/>
    </row>
    <row r="128" spans="1:15" ht="15.75" customHeight="1">
      <c r="A128" s="2"/>
      <c r="B128" s="133" t="s">
        <v>350</v>
      </c>
      <c r="C128" s="244" t="s">
        <v>351</v>
      </c>
      <c r="D128" s="76">
        <v>300</v>
      </c>
      <c r="E128" s="76">
        <v>300</v>
      </c>
      <c r="F128" s="76">
        <v>1000</v>
      </c>
      <c r="G128" s="76">
        <v>1000</v>
      </c>
      <c r="H128" s="76">
        <v>200</v>
      </c>
      <c r="I128" s="76">
        <v>200</v>
      </c>
      <c r="J128" s="76">
        <v>200</v>
      </c>
      <c r="K128" s="502">
        <v>100</v>
      </c>
      <c r="L128" s="76">
        <v>0</v>
      </c>
      <c r="M128" s="84" t="s">
        <v>44</v>
      </c>
      <c r="N128" s="237"/>
      <c r="O128" s="19"/>
    </row>
    <row r="129" spans="1:15" ht="15.75" customHeight="1">
      <c r="A129" s="2"/>
      <c r="B129" s="133" t="s">
        <v>358</v>
      </c>
      <c r="C129" s="270" t="s">
        <v>348</v>
      </c>
      <c r="D129" s="76">
        <v>800</v>
      </c>
      <c r="E129" s="76">
        <v>800</v>
      </c>
      <c r="F129" s="76"/>
      <c r="G129" s="76"/>
      <c r="H129" s="76"/>
      <c r="I129" s="76"/>
      <c r="J129" s="76"/>
      <c r="K129" s="502"/>
      <c r="L129" s="76"/>
      <c r="M129" s="238"/>
      <c r="N129" s="237"/>
      <c r="O129" s="19"/>
    </row>
    <row r="130" spans="1:15" ht="15.75" customHeight="1">
      <c r="A130" s="2"/>
      <c r="B130" s="133" t="s">
        <v>241</v>
      </c>
      <c r="C130" s="273" t="s">
        <v>348</v>
      </c>
      <c r="D130" s="76">
        <v>400</v>
      </c>
      <c r="E130" s="76">
        <v>400</v>
      </c>
      <c r="F130" s="134"/>
      <c r="G130" s="134"/>
      <c r="H130" s="134"/>
      <c r="I130" s="134"/>
      <c r="J130" s="134"/>
      <c r="K130" s="502"/>
      <c r="L130" s="76"/>
      <c r="M130" s="134"/>
      <c r="N130" s="237"/>
      <c r="O130" s="19"/>
    </row>
    <row r="131" spans="1:15" ht="15.75" customHeight="1">
      <c r="A131" s="2"/>
      <c r="B131" s="252" t="s">
        <v>359</v>
      </c>
      <c r="C131" s="275"/>
      <c r="D131" s="134"/>
      <c r="E131" s="134"/>
      <c r="F131" s="134"/>
      <c r="G131" s="134"/>
      <c r="H131" s="134"/>
      <c r="I131" s="134"/>
      <c r="J131" s="134"/>
      <c r="K131" s="502"/>
      <c r="L131" s="76">
        <v>0</v>
      </c>
      <c r="M131" s="134"/>
      <c r="N131" s="237"/>
      <c r="O131" s="19"/>
    </row>
    <row r="132" spans="1:15" ht="15.75" customHeight="1">
      <c r="A132" s="2"/>
      <c r="B132" s="133" t="s">
        <v>360</v>
      </c>
      <c r="C132" s="133" t="s">
        <v>361</v>
      </c>
      <c r="D132" s="76">
        <v>22466.16</v>
      </c>
      <c r="E132" s="76">
        <v>22466.16</v>
      </c>
      <c r="F132" s="76">
        <v>21605.4</v>
      </c>
      <c r="G132" s="76">
        <v>21605.4</v>
      </c>
      <c r="H132" s="76">
        <v>14720.7</v>
      </c>
      <c r="I132" s="76">
        <v>14720.7</v>
      </c>
      <c r="J132" s="76">
        <v>14665.5</v>
      </c>
      <c r="K132" s="502"/>
      <c r="L132" s="76">
        <v>14159.4</v>
      </c>
      <c r="M132" s="76">
        <v>12709.1</v>
      </c>
      <c r="N132" s="237"/>
      <c r="O132" s="19"/>
    </row>
    <row r="133" spans="1:15" ht="15.75" customHeight="1">
      <c r="A133" s="2"/>
      <c r="B133" s="133" t="s">
        <v>200</v>
      </c>
      <c r="C133" s="133" t="s">
        <v>362</v>
      </c>
      <c r="D133" s="76">
        <v>1797.29</v>
      </c>
      <c r="E133" s="76">
        <v>1797.29</v>
      </c>
      <c r="F133" s="76">
        <f>F132*0.07</f>
        <v>1512.3780000000002</v>
      </c>
      <c r="G133" s="76">
        <f>G132*0.07</f>
        <v>1512.3780000000002</v>
      </c>
      <c r="H133" s="76">
        <v>1030.45</v>
      </c>
      <c r="I133" s="76">
        <v>1030.45</v>
      </c>
      <c r="J133" s="76">
        <v>1026.5899999999999</v>
      </c>
      <c r="K133" s="502"/>
      <c r="L133" s="76">
        <v>0</v>
      </c>
      <c r="M133" s="76">
        <f>M132*0.07</f>
        <v>889.63700000000006</v>
      </c>
      <c r="N133" s="237"/>
      <c r="O133" s="19"/>
    </row>
    <row r="134" spans="1:15" ht="15.75" customHeight="1">
      <c r="A134" s="2"/>
      <c r="B134" s="133" t="s">
        <v>363</v>
      </c>
      <c r="C134" s="133" t="s">
        <v>364</v>
      </c>
      <c r="D134" s="76">
        <v>0</v>
      </c>
      <c r="E134" s="76">
        <v>0</v>
      </c>
      <c r="F134" s="76">
        <v>0</v>
      </c>
      <c r="G134" s="76">
        <v>0</v>
      </c>
      <c r="H134" s="76">
        <v>0</v>
      </c>
      <c r="I134" s="76">
        <v>0</v>
      </c>
      <c r="J134" s="76">
        <v>600</v>
      </c>
      <c r="K134" s="502"/>
      <c r="L134" s="76">
        <v>0</v>
      </c>
      <c r="M134" s="84" t="s">
        <v>44</v>
      </c>
      <c r="N134" s="237"/>
      <c r="O134" s="19"/>
    </row>
    <row r="135" spans="1:15" ht="15.75" customHeight="1">
      <c r="A135" s="266" t="s">
        <v>365</v>
      </c>
      <c r="B135" s="263" t="s">
        <v>366</v>
      </c>
      <c r="C135" s="263" t="s">
        <v>367</v>
      </c>
      <c r="D135" s="76"/>
      <c r="E135" s="76"/>
      <c r="F135" s="76">
        <v>0</v>
      </c>
      <c r="G135" s="76">
        <v>0</v>
      </c>
      <c r="H135" s="76"/>
      <c r="I135" s="76"/>
      <c r="J135" s="76"/>
      <c r="K135" s="502"/>
      <c r="L135" s="76">
        <v>82.7</v>
      </c>
      <c r="M135" s="76"/>
      <c r="N135" s="237"/>
      <c r="O135" s="19"/>
    </row>
    <row r="136" spans="1:15" ht="15.75" customHeight="1">
      <c r="A136" s="2"/>
      <c r="B136" s="133" t="s">
        <v>368</v>
      </c>
      <c r="C136" s="133" t="s">
        <v>369</v>
      </c>
      <c r="D136" s="178">
        <v>1300</v>
      </c>
      <c r="E136" s="178">
        <v>1300</v>
      </c>
      <c r="F136" s="76">
        <v>1300</v>
      </c>
      <c r="G136" s="76">
        <v>1300</v>
      </c>
      <c r="H136" s="76">
        <v>1000</v>
      </c>
      <c r="I136" s="76">
        <v>1000</v>
      </c>
      <c r="J136" s="76">
        <v>800</v>
      </c>
      <c r="K136" s="502">
        <v>1240.24</v>
      </c>
      <c r="L136" s="76">
        <v>100</v>
      </c>
      <c r="M136" s="76">
        <v>442.3</v>
      </c>
      <c r="N136" s="237"/>
      <c r="O136" s="19"/>
    </row>
    <row r="137" spans="1:15" ht="15.75" customHeight="1">
      <c r="A137" s="2"/>
      <c r="B137" s="133" t="s">
        <v>370</v>
      </c>
      <c r="C137" s="133" t="s">
        <v>371</v>
      </c>
      <c r="D137" s="76">
        <v>500</v>
      </c>
      <c r="E137" s="76">
        <v>500</v>
      </c>
      <c r="F137" s="76">
        <v>1000</v>
      </c>
      <c r="G137" s="76">
        <v>1000</v>
      </c>
      <c r="H137" s="76">
        <v>1800</v>
      </c>
      <c r="I137" s="76">
        <v>1800</v>
      </c>
      <c r="J137" s="76">
        <v>2000</v>
      </c>
      <c r="K137" s="502">
        <v>48.73</v>
      </c>
      <c r="L137" s="76">
        <v>218.29</v>
      </c>
      <c r="M137" s="76">
        <v>1117.5899999999999</v>
      </c>
      <c r="N137" s="237"/>
      <c r="O137" s="19"/>
    </row>
    <row r="138" spans="1:15" ht="15.75" customHeight="1">
      <c r="A138" s="2"/>
      <c r="B138" s="133" t="s">
        <v>372</v>
      </c>
      <c r="C138" s="133" t="s">
        <v>373</v>
      </c>
      <c r="D138" s="76">
        <v>250</v>
      </c>
      <c r="E138" s="76">
        <v>250</v>
      </c>
      <c r="F138" s="76">
        <v>530</v>
      </c>
      <c r="G138" s="76">
        <v>530</v>
      </c>
      <c r="H138" s="76">
        <v>530</v>
      </c>
      <c r="I138" s="76">
        <v>530</v>
      </c>
      <c r="J138" s="76">
        <v>533</v>
      </c>
      <c r="K138" s="502"/>
      <c r="L138" s="76">
        <v>241.7</v>
      </c>
      <c r="M138" s="76">
        <v>1173.27</v>
      </c>
      <c r="N138" s="237"/>
      <c r="O138" s="19"/>
    </row>
    <row r="139" spans="1:15" ht="15.75" customHeight="1">
      <c r="A139" s="2"/>
      <c r="B139" s="133" t="s">
        <v>374</v>
      </c>
      <c r="C139" s="133" t="s">
        <v>375</v>
      </c>
      <c r="D139" s="76">
        <v>1000</v>
      </c>
      <c r="E139" s="76">
        <v>1000</v>
      </c>
      <c r="F139" s="76">
        <v>1000</v>
      </c>
      <c r="G139" s="76">
        <v>1000</v>
      </c>
      <c r="H139" s="76">
        <v>900</v>
      </c>
      <c r="I139" s="76">
        <v>900</v>
      </c>
      <c r="J139" s="76">
        <v>300</v>
      </c>
      <c r="K139" s="502">
        <v>2955.45</v>
      </c>
      <c r="L139" s="76">
        <v>359.30999999999989</v>
      </c>
      <c r="M139" s="76">
        <v>255</v>
      </c>
      <c r="N139" s="237"/>
      <c r="O139" s="19"/>
    </row>
    <row r="140" spans="1:15" ht="15.75" customHeight="1">
      <c r="A140" s="2"/>
      <c r="B140" s="133" t="s">
        <v>167</v>
      </c>
      <c r="C140" s="133" t="s">
        <v>376</v>
      </c>
      <c r="D140" s="76">
        <v>800</v>
      </c>
      <c r="E140" s="76">
        <v>800</v>
      </c>
      <c r="F140" s="76">
        <v>200</v>
      </c>
      <c r="G140" s="76">
        <v>200</v>
      </c>
      <c r="H140" s="76">
        <v>200</v>
      </c>
      <c r="I140" s="76">
        <v>200</v>
      </c>
      <c r="J140" s="76">
        <v>200</v>
      </c>
      <c r="K140" s="502">
        <v>926.83</v>
      </c>
      <c r="L140" s="76">
        <v>108.54</v>
      </c>
      <c r="M140" s="84" t="s">
        <v>44</v>
      </c>
      <c r="N140" s="237"/>
      <c r="O140" s="19"/>
    </row>
    <row r="141" spans="1:15" ht="15.75" customHeight="1">
      <c r="A141" s="2"/>
      <c r="B141" s="133" t="s">
        <v>377</v>
      </c>
      <c r="C141" s="133" t="s">
        <v>378</v>
      </c>
      <c r="D141" s="76"/>
      <c r="E141" s="76"/>
      <c r="F141" s="76">
        <v>0</v>
      </c>
      <c r="G141" s="76">
        <v>0</v>
      </c>
      <c r="H141" s="84" t="s">
        <v>44</v>
      </c>
      <c r="I141" s="84" t="s">
        <v>44</v>
      </c>
      <c r="J141" s="76">
        <v>500</v>
      </c>
      <c r="K141" s="502"/>
      <c r="L141" s="76">
        <v>0</v>
      </c>
      <c r="M141" s="84" t="s">
        <v>44</v>
      </c>
      <c r="N141" s="237"/>
      <c r="O141" s="19"/>
    </row>
    <row r="142" spans="1:15" ht="15.75" customHeight="1">
      <c r="A142" s="2"/>
      <c r="B142" s="133" t="s">
        <v>206</v>
      </c>
      <c r="C142" s="133" t="s">
        <v>367</v>
      </c>
      <c r="D142" s="76">
        <v>100</v>
      </c>
      <c r="E142" s="76">
        <v>100</v>
      </c>
      <c r="F142" s="76">
        <v>100</v>
      </c>
      <c r="G142" s="76">
        <v>100</v>
      </c>
      <c r="H142" s="76">
        <v>100</v>
      </c>
      <c r="I142" s="76">
        <v>100</v>
      </c>
      <c r="J142" s="76">
        <v>300</v>
      </c>
      <c r="K142" s="502"/>
      <c r="L142" s="76">
        <v>0</v>
      </c>
      <c r="M142" s="76">
        <v>178.28</v>
      </c>
      <c r="N142" s="237"/>
      <c r="O142" s="19"/>
    </row>
    <row r="143" spans="1:15" ht="15.75" customHeight="1">
      <c r="A143" s="2"/>
      <c r="B143" s="133" t="s">
        <v>241</v>
      </c>
      <c r="C143" s="133" t="s">
        <v>379</v>
      </c>
      <c r="D143" s="76">
        <v>500</v>
      </c>
      <c r="E143" s="76">
        <v>500</v>
      </c>
      <c r="F143" s="76">
        <v>200</v>
      </c>
      <c r="G143" s="76">
        <v>200</v>
      </c>
      <c r="H143" s="76">
        <v>150</v>
      </c>
      <c r="I143" s="76">
        <v>150</v>
      </c>
      <c r="J143" s="76">
        <v>500</v>
      </c>
      <c r="K143" s="502">
        <v>213.24</v>
      </c>
      <c r="L143" s="76">
        <v>28.8</v>
      </c>
      <c r="M143" s="76">
        <v>69.75</v>
      </c>
      <c r="N143" s="237"/>
      <c r="O143" s="19"/>
    </row>
    <row r="144" spans="1:15" ht="15.75" customHeight="1">
      <c r="A144" s="2"/>
      <c r="B144" s="133" t="s">
        <v>380</v>
      </c>
      <c r="C144" s="133" t="s">
        <v>381</v>
      </c>
      <c r="D144" s="76">
        <v>1200</v>
      </c>
      <c r="E144" s="76">
        <v>1200</v>
      </c>
      <c r="F144" s="76">
        <v>900</v>
      </c>
      <c r="G144" s="76">
        <v>900</v>
      </c>
      <c r="H144" s="76">
        <v>900</v>
      </c>
      <c r="I144" s="76">
        <v>900</v>
      </c>
      <c r="J144" s="76">
        <v>1000</v>
      </c>
      <c r="K144" s="502">
        <v>840.38</v>
      </c>
      <c r="L144" s="76">
        <v>833.04</v>
      </c>
      <c r="M144" s="76">
        <v>731.16</v>
      </c>
      <c r="N144" s="237"/>
      <c r="O144" s="19"/>
    </row>
    <row r="145" spans="1:15" ht="15.75" customHeight="1">
      <c r="A145" s="2"/>
      <c r="B145" s="133" t="s">
        <v>382</v>
      </c>
      <c r="C145" s="133" t="s">
        <v>383</v>
      </c>
      <c r="D145" s="76"/>
      <c r="E145" s="76"/>
      <c r="F145" s="76">
        <v>0</v>
      </c>
      <c r="G145" s="76">
        <v>0</v>
      </c>
      <c r="H145" s="84" t="s">
        <v>44</v>
      </c>
      <c r="I145" s="84" t="s">
        <v>44</v>
      </c>
      <c r="J145" s="76">
        <v>-2500</v>
      </c>
      <c r="K145" s="502"/>
      <c r="L145" s="76">
        <v>-2268</v>
      </c>
      <c r="M145" s="76">
        <v>-2268</v>
      </c>
      <c r="N145" s="237"/>
      <c r="O145" s="19"/>
    </row>
    <row r="146" spans="1:15" ht="15.75" customHeight="1">
      <c r="A146" s="2"/>
      <c r="B146" s="252" t="s">
        <v>384</v>
      </c>
      <c r="C146" s="254"/>
      <c r="D146" s="134"/>
      <c r="E146" s="134"/>
      <c r="F146" s="134"/>
      <c r="G146" s="134"/>
      <c r="H146" s="134"/>
      <c r="I146" s="134"/>
      <c r="J146" s="134"/>
      <c r="K146" s="502"/>
      <c r="L146" s="76">
        <v>0</v>
      </c>
      <c r="M146" s="134"/>
      <c r="N146" s="237"/>
      <c r="O146" s="19"/>
    </row>
    <row r="147" spans="1:15" ht="15.75" customHeight="1">
      <c r="A147" s="2"/>
      <c r="B147" s="133" t="s">
        <v>360</v>
      </c>
      <c r="C147" s="133" t="s">
        <v>385</v>
      </c>
      <c r="D147" s="76">
        <v>29668.36</v>
      </c>
      <c r="E147" s="76">
        <v>29668.36</v>
      </c>
      <c r="F147" s="76">
        <v>40473</v>
      </c>
      <c r="G147" s="76">
        <v>40473</v>
      </c>
      <c r="H147" s="76">
        <v>30136.6</v>
      </c>
      <c r="I147" s="76">
        <v>30136.6</v>
      </c>
      <c r="J147" s="76">
        <v>39258</v>
      </c>
      <c r="K147" s="502"/>
      <c r="L147" s="76">
        <v>45969.75</v>
      </c>
      <c r="M147" s="76">
        <v>35424.620000000003</v>
      </c>
      <c r="N147" s="237"/>
      <c r="O147" s="19"/>
    </row>
    <row r="148" spans="1:15" ht="15.75" customHeight="1">
      <c r="A148" s="2"/>
      <c r="B148" s="133" t="s">
        <v>200</v>
      </c>
      <c r="C148" s="133" t="s">
        <v>386</v>
      </c>
      <c r="D148" s="76">
        <v>2373.4699999999998</v>
      </c>
      <c r="E148" s="76">
        <v>2373.4699999999998</v>
      </c>
      <c r="F148" s="76">
        <f>F147*0.07</f>
        <v>2833.11</v>
      </c>
      <c r="G148" s="76">
        <f>G147*0.07</f>
        <v>2833.11</v>
      </c>
      <c r="H148" s="76">
        <v>2109.56</v>
      </c>
      <c r="I148" s="76">
        <v>2109.56</v>
      </c>
      <c r="J148" s="76">
        <v>2748.06</v>
      </c>
      <c r="K148" s="502"/>
      <c r="L148" s="76">
        <v>0</v>
      </c>
      <c r="M148" s="76">
        <f>M147*0.07</f>
        <v>2479.7234000000003</v>
      </c>
      <c r="N148" s="237"/>
      <c r="O148" s="19"/>
    </row>
    <row r="149" spans="1:15" ht="15.75" customHeight="1">
      <c r="A149" s="2"/>
      <c r="B149" s="133" t="s">
        <v>363</v>
      </c>
      <c r="C149" s="133" t="s">
        <v>364</v>
      </c>
      <c r="D149" s="76">
        <v>150</v>
      </c>
      <c r="E149" s="76">
        <v>150</v>
      </c>
      <c r="F149" s="76">
        <v>150</v>
      </c>
      <c r="G149" s="76">
        <v>150</v>
      </c>
      <c r="H149" s="76">
        <v>300</v>
      </c>
      <c r="I149" s="76">
        <v>300</v>
      </c>
      <c r="J149" s="134"/>
      <c r="K149" s="502"/>
      <c r="L149" s="76">
        <v>0</v>
      </c>
      <c r="M149" s="134"/>
      <c r="N149" s="237"/>
      <c r="O149" s="19"/>
    </row>
    <row r="150" spans="1:15" ht="15.75" customHeight="1">
      <c r="A150" s="2"/>
      <c r="B150" s="133" t="s">
        <v>387</v>
      </c>
      <c r="C150" s="244" t="s">
        <v>388</v>
      </c>
      <c r="D150" s="76">
        <v>200</v>
      </c>
      <c r="E150" s="76">
        <v>200</v>
      </c>
      <c r="F150" s="76">
        <v>200</v>
      </c>
      <c r="G150" s="76">
        <v>200</v>
      </c>
      <c r="H150" s="76">
        <v>100</v>
      </c>
      <c r="I150" s="76">
        <v>100</v>
      </c>
      <c r="J150" s="76">
        <v>100</v>
      </c>
      <c r="K150" s="502"/>
      <c r="L150" s="76">
        <v>184.05</v>
      </c>
      <c r="M150" s="76">
        <v>182.46</v>
      </c>
      <c r="N150" s="237"/>
      <c r="O150" s="19"/>
    </row>
    <row r="151" spans="1:15" ht="15.75" customHeight="1">
      <c r="A151" s="2"/>
      <c r="B151" s="133" t="s">
        <v>389</v>
      </c>
      <c r="C151" s="270" t="s">
        <v>348</v>
      </c>
      <c r="D151" s="76">
        <v>1500</v>
      </c>
      <c r="E151" s="76">
        <v>1500</v>
      </c>
      <c r="F151" s="76"/>
      <c r="G151" s="76"/>
      <c r="H151" s="76"/>
      <c r="I151" s="76"/>
      <c r="J151" s="76"/>
      <c r="K151" s="502"/>
      <c r="L151" s="76"/>
      <c r="M151" s="238"/>
      <c r="N151" s="237"/>
      <c r="O151" s="19"/>
    </row>
    <row r="152" spans="1:15" ht="15.75" customHeight="1">
      <c r="A152" s="2"/>
      <c r="B152" s="133" t="s">
        <v>167</v>
      </c>
      <c r="C152" s="276" t="s">
        <v>390</v>
      </c>
      <c r="D152" s="76">
        <v>100</v>
      </c>
      <c r="E152" s="76">
        <v>100</v>
      </c>
      <c r="F152" s="76">
        <v>100</v>
      </c>
      <c r="G152" s="76">
        <v>100</v>
      </c>
      <c r="H152" s="76">
        <v>100</v>
      </c>
      <c r="I152" s="76">
        <v>100</v>
      </c>
      <c r="J152" s="76">
        <v>100</v>
      </c>
      <c r="K152" s="502"/>
      <c r="L152" s="76">
        <v>0</v>
      </c>
      <c r="M152" s="84" t="s">
        <v>44</v>
      </c>
      <c r="N152" s="237"/>
      <c r="O152" s="19"/>
    </row>
    <row r="153" spans="1:15" ht="15.75" customHeight="1">
      <c r="A153" s="2"/>
      <c r="B153" s="133" t="s">
        <v>169</v>
      </c>
      <c r="C153" s="133" t="s">
        <v>391</v>
      </c>
      <c r="D153" s="76">
        <v>50</v>
      </c>
      <c r="E153" s="76">
        <v>50</v>
      </c>
      <c r="F153" s="76">
        <v>100</v>
      </c>
      <c r="G153" s="76">
        <v>100</v>
      </c>
      <c r="H153" s="76">
        <v>200</v>
      </c>
      <c r="I153" s="76">
        <v>200</v>
      </c>
      <c r="J153" s="76">
        <v>150</v>
      </c>
      <c r="K153" s="502"/>
      <c r="L153" s="76">
        <v>0</v>
      </c>
      <c r="M153" s="84" t="s">
        <v>44</v>
      </c>
      <c r="N153" s="237"/>
      <c r="O153" s="19"/>
    </row>
    <row r="154" spans="1:15" ht="15.75" customHeight="1">
      <c r="A154" s="2"/>
      <c r="B154" s="133" t="s">
        <v>368</v>
      </c>
      <c r="C154" s="133" t="s">
        <v>392</v>
      </c>
      <c r="D154" s="76">
        <v>300</v>
      </c>
      <c r="E154" s="76">
        <v>300</v>
      </c>
      <c r="F154" s="76">
        <v>250</v>
      </c>
      <c r="G154" s="76">
        <v>250</v>
      </c>
      <c r="H154" s="76">
        <v>250</v>
      </c>
      <c r="I154" s="76">
        <v>250</v>
      </c>
      <c r="J154" s="76">
        <v>250</v>
      </c>
      <c r="K154" s="502">
        <v>107.35</v>
      </c>
      <c r="L154" s="76">
        <v>0</v>
      </c>
      <c r="M154" s="84" t="s">
        <v>44</v>
      </c>
      <c r="N154" s="237"/>
      <c r="O154" s="19"/>
    </row>
    <row r="155" spans="1:15" ht="15.75" customHeight="1">
      <c r="A155" s="2"/>
      <c r="B155" s="133" t="s">
        <v>241</v>
      </c>
      <c r="C155" s="133" t="s">
        <v>393</v>
      </c>
      <c r="D155" s="76"/>
      <c r="E155" s="76"/>
      <c r="F155" s="76">
        <v>0</v>
      </c>
      <c r="G155" s="76">
        <v>0</v>
      </c>
      <c r="H155" s="76">
        <v>150</v>
      </c>
      <c r="I155" s="76">
        <v>150</v>
      </c>
      <c r="J155" s="76">
        <v>500</v>
      </c>
      <c r="K155" s="502"/>
      <c r="L155" s="76">
        <v>0</v>
      </c>
      <c r="M155" s="84" t="s">
        <v>44</v>
      </c>
      <c r="N155" s="237"/>
      <c r="O155" s="19"/>
    </row>
    <row r="156" spans="1:15" ht="15.75" customHeight="1">
      <c r="A156" s="2"/>
      <c r="B156" s="252" t="s">
        <v>299</v>
      </c>
      <c r="C156" s="254"/>
      <c r="D156" s="134"/>
      <c r="E156" s="134"/>
      <c r="F156" s="134"/>
      <c r="G156" s="134"/>
      <c r="H156" s="134"/>
      <c r="I156" s="134"/>
      <c r="J156" s="134"/>
      <c r="K156" s="502"/>
      <c r="L156" s="76">
        <v>0</v>
      </c>
      <c r="M156" s="134"/>
      <c r="N156" s="237"/>
      <c r="O156" s="19"/>
    </row>
    <row r="157" spans="1:15" ht="15.75" customHeight="1">
      <c r="A157" s="2"/>
      <c r="B157" s="133" t="s">
        <v>394</v>
      </c>
      <c r="C157" s="133" t="s">
        <v>395</v>
      </c>
      <c r="D157" s="76">
        <v>6000</v>
      </c>
      <c r="E157" s="76">
        <v>6000</v>
      </c>
      <c r="F157" s="76">
        <v>6000</v>
      </c>
      <c r="G157" s="76">
        <v>6000</v>
      </c>
      <c r="H157" s="76">
        <v>5700</v>
      </c>
      <c r="I157" s="76">
        <v>5700</v>
      </c>
      <c r="J157" s="76">
        <v>5700</v>
      </c>
      <c r="K157" s="502">
        <v>5796.46</v>
      </c>
      <c r="L157" s="76">
        <v>1568</v>
      </c>
      <c r="M157" s="76">
        <v>410.57</v>
      </c>
      <c r="N157" s="237"/>
      <c r="O157" s="19"/>
    </row>
    <row r="158" spans="1:15" ht="15.75" customHeight="1">
      <c r="A158" s="2"/>
      <c r="B158" s="244" t="s">
        <v>396</v>
      </c>
      <c r="C158" s="244" t="s">
        <v>397</v>
      </c>
      <c r="D158" s="134"/>
      <c r="E158" s="134"/>
      <c r="F158" s="134"/>
      <c r="G158" s="134"/>
      <c r="H158" s="76">
        <v>0</v>
      </c>
      <c r="I158" s="76">
        <v>0</v>
      </c>
      <c r="J158" s="76">
        <v>2000</v>
      </c>
      <c r="K158" s="502"/>
      <c r="L158" s="76">
        <v>0</v>
      </c>
      <c r="M158" s="84" t="s">
        <v>44</v>
      </c>
      <c r="N158" s="237"/>
      <c r="O158" s="19"/>
    </row>
    <row r="159" spans="1:15" ht="15.75" customHeight="1">
      <c r="A159" s="2"/>
      <c r="B159" s="269" t="s">
        <v>349</v>
      </c>
      <c r="C159" s="277"/>
      <c r="D159" s="134"/>
      <c r="E159" s="134"/>
      <c r="F159" s="134"/>
      <c r="G159" s="134"/>
      <c r="H159" s="76"/>
      <c r="I159" s="76"/>
      <c r="J159" s="76"/>
      <c r="K159" s="502"/>
      <c r="L159" s="76"/>
      <c r="M159" s="238"/>
      <c r="N159" s="237"/>
      <c r="O159" s="19"/>
    </row>
    <row r="160" spans="1:15" ht="15.75" customHeight="1">
      <c r="A160" s="2"/>
      <c r="B160" s="276" t="s">
        <v>398</v>
      </c>
      <c r="C160" s="277"/>
      <c r="D160" s="278"/>
      <c r="E160" s="278"/>
      <c r="F160" s="134">
        <v>16800</v>
      </c>
      <c r="G160" s="134"/>
      <c r="H160" s="76"/>
      <c r="I160" s="76"/>
      <c r="J160" s="76"/>
      <c r="K160" s="502"/>
      <c r="L160" s="76"/>
      <c r="M160" s="238"/>
      <c r="N160" s="237"/>
      <c r="O160" s="19"/>
    </row>
    <row r="161" spans="1:15" ht="15.75" customHeight="1">
      <c r="A161" s="2"/>
      <c r="B161" s="133" t="s">
        <v>399</v>
      </c>
      <c r="C161" s="277"/>
      <c r="D161" s="265"/>
      <c r="E161" s="265"/>
      <c r="F161" s="278">
        <v>-16800</v>
      </c>
      <c r="G161" s="134"/>
      <c r="H161" s="76"/>
      <c r="I161" s="76"/>
      <c r="J161" s="76"/>
      <c r="K161" s="502"/>
      <c r="L161" s="76"/>
      <c r="M161" s="238"/>
      <c r="N161" s="237"/>
      <c r="O161" s="19"/>
    </row>
    <row r="162" spans="1:15" ht="15.75" customHeight="1">
      <c r="A162" s="2"/>
      <c r="B162" s="128" t="s">
        <v>400</v>
      </c>
      <c r="C162" s="279" t="s">
        <v>401</v>
      </c>
      <c r="D162" s="60"/>
      <c r="E162" s="60"/>
      <c r="F162" s="265"/>
      <c r="G162" s="265"/>
      <c r="H162" s="120">
        <v>0</v>
      </c>
      <c r="I162" s="120">
        <v>0</v>
      </c>
      <c r="J162" s="120">
        <v>700</v>
      </c>
      <c r="K162" s="503"/>
      <c r="L162" s="120">
        <v>0</v>
      </c>
      <c r="M162" s="90" t="s">
        <v>44</v>
      </c>
      <c r="N162" s="237"/>
      <c r="O162" s="19"/>
    </row>
    <row r="163" spans="1:15" ht="15.75" customHeight="1">
      <c r="A163" s="2"/>
      <c r="B163" s="239"/>
      <c r="C163" s="54" t="s">
        <v>197</v>
      </c>
      <c r="D163" s="240">
        <f>SUM(D95:D161)</f>
        <v>225789.06000000003</v>
      </c>
      <c r="E163" s="240">
        <f>SUM(E95:E161)</f>
        <v>225789.06000000003</v>
      </c>
      <c r="F163" s="240">
        <f>SUM(F95:F162)</f>
        <v>211865.38899999997</v>
      </c>
      <c r="G163" s="41">
        <f>SUM(G94:G162)</f>
        <v>211865.38899999997</v>
      </c>
      <c r="H163" s="41">
        <f>SUM(H96:H162)</f>
        <v>181806.55000000002</v>
      </c>
      <c r="I163" s="41">
        <f>SUM(I96:I162)</f>
        <v>181806.55000000002</v>
      </c>
      <c r="J163" s="41">
        <f>SUM(J96:J162)</f>
        <v>196235.77</v>
      </c>
      <c r="K163" s="519">
        <f>SUM(K95:K161)</f>
        <v>211066.42</v>
      </c>
      <c r="L163" s="41">
        <v>144019.70000000001</v>
      </c>
      <c r="M163" s="41">
        <f>SUM(M96:M162)</f>
        <v>147133.5324</v>
      </c>
      <c r="N163" s="237"/>
      <c r="O163" s="19"/>
    </row>
    <row r="164" spans="1:15" ht="15.75" customHeight="1">
      <c r="A164" s="2"/>
      <c r="B164" s="171" t="s">
        <v>402</v>
      </c>
      <c r="C164" s="258"/>
      <c r="D164" s="258"/>
      <c r="E164" s="258"/>
      <c r="F164" s="258"/>
      <c r="G164" s="11"/>
      <c r="H164" s="11"/>
      <c r="I164" s="11"/>
      <c r="J164" s="11"/>
      <c r="K164" s="502"/>
      <c r="L164" s="70"/>
      <c r="M164" s="11"/>
      <c r="N164" s="237"/>
      <c r="O164" s="19"/>
    </row>
    <row r="165" spans="1:15" ht="15.75" customHeight="1">
      <c r="A165" s="2"/>
      <c r="B165" s="133" t="s">
        <v>198</v>
      </c>
      <c r="C165" s="133" t="s">
        <v>403</v>
      </c>
      <c r="D165" s="280">
        <v>37652.9</v>
      </c>
      <c r="E165" s="280">
        <v>37652.9</v>
      </c>
      <c r="F165" s="76">
        <v>36663</v>
      </c>
      <c r="G165" s="76">
        <v>36663</v>
      </c>
      <c r="H165" s="76">
        <v>36663</v>
      </c>
      <c r="I165" s="76">
        <v>36663</v>
      </c>
      <c r="J165" s="76">
        <v>36400</v>
      </c>
      <c r="K165" s="502">
        <v>39289.1</v>
      </c>
      <c r="L165" s="76">
        <v>36662.959999999999</v>
      </c>
      <c r="M165" s="76">
        <v>37047.120000000003</v>
      </c>
      <c r="N165" s="237"/>
      <c r="O165" s="19"/>
    </row>
    <row r="166" spans="1:15" ht="15.75" customHeight="1">
      <c r="A166" s="2"/>
      <c r="B166" s="133" t="s">
        <v>200</v>
      </c>
      <c r="C166" s="133" t="s">
        <v>404</v>
      </c>
      <c r="D166" s="76">
        <v>8015.33</v>
      </c>
      <c r="E166" s="76">
        <v>8015.33</v>
      </c>
      <c r="F166" s="76">
        <v>6166.41</v>
      </c>
      <c r="G166" s="76">
        <v>6166.41</v>
      </c>
      <c r="H166" s="76">
        <v>6166.41</v>
      </c>
      <c r="I166" s="76">
        <v>6166.41</v>
      </c>
      <c r="J166" s="76">
        <v>5092</v>
      </c>
      <c r="K166" s="502">
        <v>7017.01</v>
      </c>
      <c r="L166" s="76">
        <v>7306.9500000000007</v>
      </c>
      <c r="M166" s="76">
        <v>7217.71</v>
      </c>
      <c r="N166" s="237"/>
      <c r="O166" s="19"/>
    </row>
    <row r="167" spans="1:15" ht="15.75" customHeight="1">
      <c r="A167" s="2"/>
      <c r="B167" s="133" t="s">
        <v>204</v>
      </c>
      <c r="C167" s="133" t="s">
        <v>405</v>
      </c>
      <c r="D167" s="76">
        <v>740</v>
      </c>
      <c r="E167" s="76">
        <v>740</v>
      </c>
      <c r="F167" s="76">
        <v>1260</v>
      </c>
      <c r="G167" s="76">
        <v>1260</v>
      </c>
      <c r="H167" s="76">
        <v>1260</v>
      </c>
      <c r="I167" s="76">
        <v>1260</v>
      </c>
      <c r="J167" s="76">
        <v>1260</v>
      </c>
      <c r="K167" s="502">
        <v>1129.8599999999999</v>
      </c>
      <c r="L167" s="76">
        <v>1121.6400000000001</v>
      </c>
      <c r="M167" s="76">
        <v>605.82000000000005</v>
      </c>
      <c r="N167" s="242"/>
      <c r="O167" s="19"/>
    </row>
    <row r="168" spans="1:15" ht="15.75" customHeight="1">
      <c r="A168" s="2"/>
      <c r="B168" s="133" t="s">
        <v>206</v>
      </c>
      <c r="C168" s="133" t="s">
        <v>406</v>
      </c>
      <c r="D168" s="280">
        <v>60</v>
      </c>
      <c r="E168" s="280">
        <v>60</v>
      </c>
      <c r="F168" s="76">
        <v>60</v>
      </c>
      <c r="G168" s="76">
        <v>60</v>
      </c>
      <c r="H168" s="76">
        <v>60</v>
      </c>
      <c r="I168" s="76">
        <v>60</v>
      </c>
      <c r="J168" s="76">
        <v>60</v>
      </c>
      <c r="K168" s="502">
        <v>0.44</v>
      </c>
      <c r="L168" s="76">
        <v>186.21</v>
      </c>
      <c r="M168" s="76">
        <v>312.83999999999997</v>
      </c>
      <c r="N168" s="237"/>
      <c r="O168" s="19"/>
    </row>
    <row r="169" spans="1:15" ht="15.75" customHeight="1">
      <c r="A169" s="2"/>
      <c r="B169" s="133" t="s">
        <v>208</v>
      </c>
      <c r="C169" s="133" t="s">
        <v>407</v>
      </c>
      <c r="D169" s="281">
        <v>200</v>
      </c>
      <c r="E169" s="281">
        <v>200</v>
      </c>
      <c r="F169" s="84" t="s">
        <v>44</v>
      </c>
      <c r="G169" s="84" t="s">
        <v>44</v>
      </c>
      <c r="H169" s="84" t="s">
        <v>44</v>
      </c>
      <c r="I169" s="84" t="s">
        <v>44</v>
      </c>
      <c r="J169" s="84" t="s">
        <v>44</v>
      </c>
      <c r="K169" s="502">
        <v>15.12</v>
      </c>
      <c r="L169" s="76">
        <v>0</v>
      </c>
      <c r="M169" s="76">
        <v>18.8</v>
      </c>
      <c r="N169" s="237"/>
      <c r="O169" s="19"/>
    </row>
    <row r="170" spans="1:15" ht="15.75" customHeight="1">
      <c r="A170" s="138" t="s">
        <v>408</v>
      </c>
      <c r="B170" s="133" t="s">
        <v>167</v>
      </c>
      <c r="C170" s="133" t="s">
        <v>409</v>
      </c>
      <c r="D170" s="280">
        <v>500</v>
      </c>
      <c r="E170" s="280">
        <v>500</v>
      </c>
      <c r="F170" s="76">
        <v>1000</v>
      </c>
      <c r="G170" s="76">
        <v>1000</v>
      </c>
      <c r="H170" s="76">
        <v>800</v>
      </c>
      <c r="I170" s="76">
        <v>800</v>
      </c>
      <c r="J170" s="76">
        <v>800</v>
      </c>
      <c r="K170" s="502">
        <v>3022.73</v>
      </c>
      <c r="L170" s="76">
        <v>1110.74</v>
      </c>
      <c r="M170" s="76">
        <v>3730.94</v>
      </c>
      <c r="N170" s="242"/>
      <c r="O170" s="19"/>
    </row>
    <row r="171" spans="1:15" ht="15.75" customHeight="1">
      <c r="A171" s="2"/>
      <c r="B171" s="133" t="s">
        <v>169</v>
      </c>
      <c r="C171" s="133" t="s">
        <v>410</v>
      </c>
      <c r="D171" s="280">
        <v>250</v>
      </c>
      <c r="E171" s="280">
        <v>250</v>
      </c>
      <c r="F171" s="76">
        <v>150</v>
      </c>
      <c r="G171" s="76">
        <v>150</v>
      </c>
      <c r="H171" s="76">
        <v>150</v>
      </c>
      <c r="I171" s="76">
        <v>150</v>
      </c>
      <c r="J171" s="76">
        <v>300</v>
      </c>
      <c r="K171" s="502">
        <v>250.74</v>
      </c>
      <c r="L171" s="76">
        <v>8.2200000000000006</v>
      </c>
      <c r="M171" s="76">
        <v>5.04</v>
      </c>
      <c r="N171" s="237"/>
      <c r="O171" s="19"/>
    </row>
    <row r="172" spans="1:15" ht="15.75" customHeight="1">
      <c r="A172" s="2"/>
      <c r="B172" s="133" t="s">
        <v>212</v>
      </c>
      <c r="C172" s="133" t="s">
        <v>411</v>
      </c>
      <c r="D172" s="280">
        <v>3750</v>
      </c>
      <c r="E172" s="280">
        <v>3750</v>
      </c>
      <c r="F172" s="76">
        <v>3000</v>
      </c>
      <c r="G172" s="76">
        <v>3000</v>
      </c>
      <c r="H172" s="76">
        <v>3000</v>
      </c>
      <c r="I172" s="76">
        <v>3000</v>
      </c>
      <c r="J172" s="76">
        <v>3000</v>
      </c>
      <c r="K172" s="502">
        <v>1015.65</v>
      </c>
      <c r="L172" s="76">
        <v>3145.56</v>
      </c>
      <c r="M172" s="76">
        <v>962.25</v>
      </c>
      <c r="N172" s="237"/>
      <c r="O172" s="19"/>
    </row>
    <row r="173" spans="1:15" ht="15.75" customHeight="1">
      <c r="A173" s="2"/>
      <c r="B173" s="133" t="s">
        <v>276</v>
      </c>
      <c r="C173" s="133" t="s">
        <v>412</v>
      </c>
      <c r="D173" s="280">
        <v>300</v>
      </c>
      <c r="E173" s="280">
        <v>300</v>
      </c>
      <c r="F173" s="76">
        <v>300</v>
      </c>
      <c r="G173" s="76">
        <v>300</v>
      </c>
      <c r="H173" s="76">
        <v>500</v>
      </c>
      <c r="I173" s="76">
        <v>500</v>
      </c>
      <c r="J173" s="76">
        <v>300</v>
      </c>
      <c r="K173" s="502"/>
      <c r="L173" s="76">
        <v>33</v>
      </c>
      <c r="M173" s="76">
        <v>192.91</v>
      </c>
      <c r="N173" s="237"/>
      <c r="O173" s="19"/>
    </row>
    <row r="174" spans="1:15" ht="15.75" customHeight="1">
      <c r="A174" s="138" t="s">
        <v>413</v>
      </c>
      <c r="B174" s="133" t="s">
        <v>202</v>
      </c>
      <c r="C174" s="133" t="s">
        <v>414</v>
      </c>
      <c r="D174" s="280"/>
      <c r="E174" s="280"/>
      <c r="F174" s="76">
        <v>3120</v>
      </c>
      <c r="G174" s="76">
        <v>3120</v>
      </c>
      <c r="H174" s="76">
        <v>3120</v>
      </c>
      <c r="I174" s="76">
        <v>3120</v>
      </c>
      <c r="J174" s="134"/>
      <c r="K174" s="502">
        <v>1002.58</v>
      </c>
      <c r="L174" s="76">
        <v>0</v>
      </c>
      <c r="M174" s="76">
        <v>225.91</v>
      </c>
      <c r="N174" s="237"/>
      <c r="O174" s="19"/>
    </row>
    <row r="175" spans="1:15" ht="15.75" customHeight="1">
      <c r="A175" s="2"/>
      <c r="B175" s="133" t="s">
        <v>415</v>
      </c>
      <c r="C175" s="133" t="s">
        <v>416</v>
      </c>
      <c r="D175" s="280">
        <v>120</v>
      </c>
      <c r="E175" s="280">
        <v>120</v>
      </c>
      <c r="F175" s="238">
        <v>120</v>
      </c>
      <c r="G175" s="238">
        <v>120</v>
      </c>
      <c r="H175" s="84" t="s">
        <v>44</v>
      </c>
      <c r="I175" s="84" t="s">
        <v>44</v>
      </c>
      <c r="J175" s="84" t="s">
        <v>44</v>
      </c>
      <c r="K175" s="502"/>
      <c r="L175" s="76">
        <v>0</v>
      </c>
      <c r="M175" s="76">
        <v>35.75</v>
      </c>
      <c r="N175" s="237"/>
      <c r="O175" s="19"/>
    </row>
    <row r="176" spans="1:15" ht="15.75" customHeight="1">
      <c r="A176" s="2"/>
      <c r="B176" s="252" t="s">
        <v>417</v>
      </c>
      <c r="C176" s="254"/>
      <c r="D176" s="282"/>
      <c r="E176" s="282"/>
      <c r="F176" s="134"/>
      <c r="G176" s="134"/>
      <c r="H176" s="134"/>
      <c r="I176" s="134"/>
      <c r="J176" s="134"/>
      <c r="K176" s="502"/>
      <c r="L176" s="76">
        <v>0</v>
      </c>
      <c r="M176" s="134"/>
      <c r="N176" s="237"/>
      <c r="O176" s="19"/>
    </row>
    <row r="177" spans="1:15" ht="15.75" customHeight="1">
      <c r="A177" s="2"/>
      <c r="B177" s="133" t="s">
        <v>198</v>
      </c>
      <c r="C177" s="133" t="s">
        <v>418</v>
      </c>
      <c r="D177" s="280">
        <v>42066</v>
      </c>
      <c r="E177" s="280">
        <v>42066</v>
      </c>
      <c r="F177" s="76">
        <v>35267.4</v>
      </c>
      <c r="G177" s="76">
        <v>35267.4</v>
      </c>
      <c r="H177" s="76">
        <v>30851.599999999999</v>
      </c>
      <c r="I177" s="76">
        <v>30851.599999999999</v>
      </c>
      <c r="J177" s="76">
        <v>29045</v>
      </c>
      <c r="K177" s="502">
        <v>33009.1</v>
      </c>
      <c r="L177" s="76">
        <v>29690.35</v>
      </c>
      <c r="M177" s="76">
        <v>32020.52</v>
      </c>
      <c r="N177" s="237"/>
      <c r="O177" s="19"/>
    </row>
    <row r="178" spans="1:15" ht="15.75" customHeight="1">
      <c r="A178" s="2"/>
      <c r="B178" s="133" t="s">
        <v>200</v>
      </c>
      <c r="C178" s="133" t="s">
        <v>419</v>
      </c>
      <c r="D178" s="280">
        <v>0</v>
      </c>
      <c r="E178" s="280">
        <v>0</v>
      </c>
      <c r="F178" s="76">
        <f>0.07*F177</f>
        <v>2468.7180000000003</v>
      </c>
      <c r="G178" s="76">
        <f>0.07*G177</f>
        <v>2468.7180000000003</v>
      </c>
      <c r="H178" s="76">
        <v>2159.61</v>
      </c>
      <c r="I178" s="76">
        <v>2159.61</v>
      </c>
      <c r="J178" s="76">
        <v>2033.15</v>
      </c>
      <c r="K178" s="502"/>
      <c r="L178" s="76">
        <v>0</v>
      </c>
      <c r="M178" s="76">
        <f>M177*0.07</f>
        <v>2241.4364</v>
      </c>
      <c r="N178" s="237"/>
      <c r="O178" s="19"/>
    </row>
    <row r="179" spans="1:15" ht="15.75" customHeight="1">
      <c r="A179" s="2"/>
      <c r="B179" s="133" t="s">
        <v>204</v>
      </c>
      <c r="C179" s="133" t="s">
        <v>420</v>
      </c>
      <c r="D179" s="280">
        <v>50</v>
      </c>
      <c r="E179" s="280">
        <v>50</v>
      </c>
      <c r="F179" s="238">
        <v>50</v>
      </c>
      <c r="G179" s="238">
        <v>50</v>
      </c>
      <c r="H179" s="84" t="s">
        <v>44</v>
      </c>
      <c r="I179" s="84" t="s">
        <v>44</v>
      </c>
      <c r="J179" s="84" t="s">
        <v>44</v>
      </c>
      <c r="K179" s="502"/>
      <c r="L179" s="76">
        <v>0</v>
      </c>
      <c r="M179" s="76">
        <v>0</v>
      </c>
      <c r="N179" s="237"/>
      <c r="O179" s="19"/>
    </row>
    <row r="180" spans="1:15" ht="15.75" customHeight="1">
      <c r="A180" s="2"/>
      <c r="B180" s="133" t="s">
        <v>206</v>
      </c>
      <c r="C180" s="133" t="s">
        <v>421</v>
      </c>
      <c r="D180" s="280">
        <v>350</v>
      </c>
      <c r="E180" s="280">
        <v>350</v>
      </c>
      <c r="F180" s="76">
        <v>350</v>
      </c>
      <c r="G180" s="76">
        <v>350</v>
      </c>
      <c r="H180" s="76">
        <v>350</v>
      </c>
      <c r="I180" s="76">
        <v>350</v>
      </c>
      <c r="J180" s="76">
        <v>200</v>
      </c>
      <c r="K180" s="502">
        <v>109.37</v>
      </c>
      <c r="L180" s="76">
        <v>0</v>
      </c>
      <c r="M180" s="76">
        <v>199</v>
      </c>
      <c r="N180" s="237"/>
      <c r="O180" s="19"/>
    </row>
    <row r="181" spans="1:15" ht="15.75" customHeight="1">
      <c r="A181" s="2"/>
      <c r="B181" s="133" t="s">
        <v>422</v>
      </c>
      <c r="C181" s="133" t="s">
        <v>423</v>
      </c>
      <c r="D181" s="280">
        <v>250</v>
      </c>
      <c r="E181" s="280">
        <v>250</v>
      </c>
      <c r="F181" s="238">
        <v>250</v>
      </c>
      <c r="G181" s="238">
        <v>250</v>
      </c>
      <c r="H181" s="84" t="s">
        <v>44</v>
      </c>
      <c r="I181" s="84" t="s">
        <v>44</v>
      </c>
      <c r="J181" s="84" t="s">
        <v>44</v>
      </c>
      <c r="K181" s="502">
        <v>204</v>
      </c>
      <c r="L181" s="76">
        <v>0</v>
      </c>
      <c r="M181" s="76">
        <v>858.39</v>
      </c>
      <c r="N181" s="237"/>
      <c r="O181" s="19"/>
    </row>
    <row r="182" spans="1:15" ht="15.75" customHeight="1">
      <c r="A182" s="2"/>
      <c r="B182" s="133" t="s">
        <v>175</v>
      </c>
      <c r="C182" s="133" t="s">
        <v>424</v>
      </c>
      <c r="D182" s="280">
        <v>500</v>
      </c>
      <c r="E182" s="280">
        <v>500</v>
      </c>
      <c r="F182" s="76">
        <v>500</v>
      </c>
      <c r="G182" s="76">
        <v>500</v>
      </c>
      <c r="H182" s="76">
        <v>500</v>
      </c>
      <c r="I182" s="76">
        <v>500</v>
      </c>
      <c r="J182" s="76">
        <v>420</v>
      </c>
      <c r="K182" s="502">
        <v>439.59</v>
      </c>
      <c r="L182" s="76">
        <v>0</v>
      </c>
      <c r="M182" s="76">
        <v>105</v>
      </c>
      <c r="N182" s="237"/>
      <c r="O182" s="19"/>
    </row>
    <row r="183" spans="1:15" ht="15.75" customHeight="1">
      <c r="A183" s="266" t="s">
        <v>315</v>
      </c>
      <c r="B183" s="263" t="s">
        <v>425</v>
      </c>
      <c r="C183" s="133" t="s">
        <v>426</v>
      </c>
      <c r="D183" s="283" t="s">
        <v>44</v>
      </c>
      <c r="E183" s="283" t="s">
        <v>44</v>
      </c>
      <c r="F183" s="76">
        <v>0</v>
      </c>
      <c r="G183" s="76">
        <v>0</v>
      </c>
      <c r="H183" s="238"/>
      <c r="I183" s="238"/>
      <c r="J183" s="238"/>
      <c r="K183" s="502"/>
      <c r="L183" s="76">
        <v>3460.88</v>
      </c>
      <c r="M183" s="238"/>
      <c r="N183" s="284"/>
      <c r="O183" s="19"/>
    </row>
    <row r="184" spans="1:15" ht="15.75" customHeight="1">
      <c r="A184" s="138" t="s">
        <v>427</v>
      </c>
      <c r="B184" s="133" t="s">
        <v>415</v>
      </c>
      <c r="C184" s="133" t="s">
        <v>428</v>
      </c>
      <c r="D184" s="280">
        <v>1000</v>
      </c>
      <c r="E184" s="280">
        <v>1000</v>
      </c>
      <c r="F184" s="76">
        <v>1000</v>
      </c>
      <c r="G184" s="76">
        <v>1000</v>
      </c>
      <c r="H184" s="84" t="s">
        <v>44</v>
      </c>
      <c r="I184" s="84" t="s">
        <v>44</v>
      </c>
      <c r="J184" s="84" t="s">
        <v>44</v>
      </c>
      <c r="K184" s="502"/>
      <c r="L184" s="76">
        <v>0</v>
      </c>
      <c r="M184" s="84" t="s">
        <v>44</v>
      </c>
      <c r="N184" s="237"/>
      <c r="O184" s="19"/>
    </row>
    <row r="185" spans="1:15" ht="15.75" customHeight="1">
      <c r="A185" s="2"/>
      <c r="B185" s="252" t="s">
        <v>429</v>
      </c>
      <c r="C185" s="254"/>
      <c r="D185" s="282"/>
      <c r="E185" s="282"/>
      <c r="F185" s="134"/>
      <c r="G185" s="134"/>
      <c r="H185" s="134"/>
      <c r="I185" s="134"/>
      <c r="J185" s="134"/>
      <c r="K185" s="502"/>
      <c r="L185" s="76">
        <v>0</v>
      </c>
      <c r="M185" s="134"/>
      <c r="N185" s="237"/>
      <c r="O185" s="19"/>
    </row>
    <row r="186" spans="1:15" ht="15.75" customHeight="1">
      <c r="A186" s="2"/>
      <c r="B186" s="133" t="s">
        <v>198</v>
      </c>
      <c r="C186" s="133" t="s">
        <v>430</v>
      </c>
      <c r="D186" s="280">
        <v>7498</v>
      </c>
      <c r="E186" s="280">
        <v>7498</v>
      </c>
      <c r="F186" s="76">
        <v>6072</v>
      </c>
      <c r="G186" s="76">
        <v>6072</v>
      </c>
      <c r="H186" s="76">
        <v>5593.5</v>
      </c>
      <c r="I186" s="76">
        <v>5593.5</v>
      </c>
      <c r="J186" s="76">
        <v>5476.5</v>
      </c>
      <c r="K186" s="502">
        <v>9658.75</v>
      </c>
      <c r="L186" s="76">
        <v>0</v>
      </c>
      <c r="M186" s="76">
        <v>5293.95</v>
      </c>
      <c r="N186" s="237"/>
      <c r="O186" s="19"/>
    </row>
    <row r="187" spans="1:15" ht="15.75" customHeight="1">
      <c r="A187" s="2"/>
      <c r="B187" s="133" t="s">
        <v>200</v>
      </c>
      <c r="C187" s="133" t="s">
        <v>431</v>
      </c>
      <c r="D187" s="280">
        <v>0</v>
      </c>
      <c r="E187" s="280">
        <v>0</v>
      </c>
      <c r="F187" s="76">
        <f>0.07*F186</f>
        <v>425.04</v>
      </c>
      <c r="G187" s="76">
        <f>0.07*G186</f>
        <v>425.04</v>
      </c>
      <c r="H187" s="76">
        <v>391.55</v>
      </c>
      <c r="I187" s="76">
        <v>391.55</v>
      </c>
      <c r="J187" s="76">
        <v>383.36</v>
      </c>
      <c r="K187" s="502">
        <v>642.66</v>
      </c>
      <c r="L187" s="76">
        <v>0</v>
      </c>
      <c r="M187" s="76">
        <v>345.79</v>
      </c>
      <c r="N187" s="237"/>
      <c r="O187" s="19"/>
    </row>
    <row r="188" spans="1:15" ht="15.75" customHeight="1">
      <c r="A188" s="138" t="s">
        <v>432</v>
      </c>
      <c r="B188" s="133" t="s">
        <v>433</v>
      </c>
      <c r="C188" s="133" t="s">
        <v>434</v>
      </c>
      <c r="D188" s="280">
        <v>-61200</v>
      </c>
      <c r="E188" s="280">
        <v>-61200</v>
      </c>
      <c r="F188" s="76">
        <v>-45300</v>
      </c>
      <c r="G188" s="76">
        <v>-45300</v>
      </c>
      <c r="H188" s="76">
        <v>-44464</v>
      </c>
      <c r="I188" s="76">
        <v>-31350</v>
      </c>
      <c r="J188" s="76">
        <v>-27500</v>
      </c>
      <c r="K188" s="502">
        <v>-63945</v>
      </c>
      <c r="L188" s="76">
        <v>0</v>
      </c>
      <c r="M188" s="76">
        <v>-28764.44</v>
      </c>
      <c r="N188" s="237"/>
      <c r="O188" s="19"/>
    </row>
    <row r="189" spans="1:15" ht="15.75" customHeight="1">
      <c r="A189" s="2"/>
      <c r="B189" s="133" t="s">
        <v>435</v>
      </c>
      <c r="C189" s="133" t="s">
        <v>436</v>
      </c>
      <c r="D189" s="280">
        <v>-15000</v>
      </c>
      <c r="E189" s="280">
        <v>-15000</v>
      </c>
      <c r="F189" s="76">
        <v>-14000</v>
      </c>
      <c r="G189" s="76">
        <v>-14000</v>
      </c>
      <c r="H189" s="76">
        <v>-12000</v>
      </c>
      <c r="I189" s="76">
        <v>-12000</v>
      </c>
      <c r="J189" s="76">
        <v>-10000</v>
      </c>
      <c r="K189" s="502">
        <v>-11900</v>
      </c>
      <c r="L189" s="76">
        <v>0</v>
      </c>
      <c r="M189" s="76">
        <v>-12000</v>
      </c>
      <c r="N189" s="237"/>
      <c r="O189" s="19"/>
    </row>
    <row r="190" spans="1:15" ht="15.75" customHeight="1">
      <c r="A190" s="2"/>
      <c r="B190" s="133" t="s">
        <v>437</v>
      </c>
      <c r="C190" s="133" t="s">
        <v>438</v>
      </c>
      <c r="D190" s="283" t="s">
        <v>44</v>
      </c>
      <c r="E190" s="283" t="s">
        <v>44</v>
      </c>
      <c r="F190" s="76">
        <v>-23760</v>
      </c>
      <c r="G190" s="76">
        <v>-23760</v>
      </c>
      <c r="H190" s="76">
        <v>-14760</v>
      </c>
      <c r="I190" s="76">
        <v>-14760</v>
      </c>
      <c r="J190" s="76">
        <v>-11200</v>
      </c>
      <c r="K190" s="502"/>
      <c r="L190" s="76">
        <v>0</v>
      </c>
      <c r="M190" s="76">
        <v>-15172.47</v>
      </c>
      <c r="N190" s="237"/>
      <c r="O190" s="19"/>
    </row>
    <row r="191" spans="1:15" ht="15.75" customHeight="1">
      <c r="A191" s="2"/>
      <c r="B191" s="133" t="s">
        <v>439</v>
      </c>
      <c r="C191" s="133" t="s">
        <v>440</v>
      </c>
      <c r="D191" s="283" t="s">
        <v>44</v>
      </c>
      <c r="E191" s="283" t="s">
        <v>44</v>
      </c>
      <c r="F191" s="76">
        <v>1075</v>
      </c>
      <c r="G191" s="76">
        <v>1075</v>
      </c>
      <c r="H191" s="76">
        <v>1075</v>
      </c>
      <c r="I191" s="76">
        <v>1075</v>
      </c>
      <c r="J191" s="76">
        <v>840</v>
      </c>
      <c r="K191" s="502"/>
      <c r="L191" s="76">
        <v>0</v>
      </c>
      <c r="M191" s="76">
        <v>52.5</v>
      </c>
      <c r="N191" s="237"/>
      <c r="O191" s="19"/>
    </row>
    <row r="192" spans="1:15" ht="15.75" customHeight="1">
      <c r="A192" s="2"/>
      <c r="B192" s="133" t="s">
        <v>441</v>
      </c>
      <c r="C192" s="133" t="s">
        <v>442</v>
      </c>
      <c r="D192" s="280">
        <v>7000</v>
      </c>
      <c r="E192" s="280">
        <v>7000</v>
      </c>
      <c r="F192" s="76">
        <v>7000</v>
      </c>
      <c r="G192" s="76">
        <v>7000</v>
      </c>
      <c r="H192" s="76">
        <v>7000</v>
      </c>
      <c r="I192" s="76">
        <v>7000</v>
      </c>
      <c r="J192" s="84" t="s">
        <v>44</v>
      </c>
      <c r="K192" s="502">
        <v>6465.39</v>
      </c>
      <c r="L192" s="76">
        <v>0</v>
      </c>
      <c r="M192" s="76">
        <v>0</v>
      </c>
      <c r="N192" s="237"/>
      <c r="O192" s="19"/>
    </row>
    <row r="193" spans="1:15" ht="15.75" customHeight="1">
      <c r="A193" s="2"/>
      <c r="B193" s="133" t="s">
        <v>422</v>
      </c>
      <c r="C193" s="133" t="s">
        <v>443</v>
      </c>
      <c r="D193" s="280">
        <v>150</v>
      </c>
      <c r="E193" s="280">
        <v>150</v>
      </c>
      <c r="F193" s="76">
        <v>500</v>
      </c>
      <c r="G193" s="76">
        <v>500</v>
      </c>
      <c r="H193" s="76">
        <v>500</v>
      </c>
      <c r="I193" s="76">
        <v>500</v>
      </c>
      <c r="J193" s="76">
        <v>6500</v>
      </c>
      <c r="K193" s="502">
        <v>99.46</v>
      </c>
      <c r="L193" s="76">
        <v>0</v>
      </c>
      <c r="M193" s="76">
        <v>9536.06</v>
      </c>
      <c r="N193" s="237"/>
      <c r="O193" s="19"/>
    </row>
    <row r="194" spans="1:15" ht="15.75" customHeight="1">
      <c r="A194" s="2"/>
      <c r="B194" s="133" t="s">
        <v>169</v>
      </c>
      <c r="C194" s="133" t="s">
        <v>444</v>
      </c>
      <c r="D194" s="280">
        <v>150</v>
      </c>
      <c r="E194" s="280">
        <v>150</v>
      </c>
      <c r="F194" s="76">
        <v>150</v>
      </c>
      <c r="G194" s="76">
        <v>150</v>
      </c>
      <c r="H194" s="76">
        <v>100</v>
      </c>
      <c r="I194" s="76">
        <v>100</v>
      </c>
      <c r="J194" s="76">
        <v>100</v>
      </c>
      <c r="K194" s="502">
        <v>213.02</v>
      </c>
      <c r="L194" s="76">
        <v>0</v>
      </c>
      <c r="M194" s="84" t="s">
        <v>44</v>
      </c>
      <c r="N194" s="237"/>
      <c r="O194" s="19"/>
    </row>
    <row r="195" spans="1:15" ht="15.75" customHeight="1">
      <c r="A195" s="138" t="s">
        <v>445</v>
      </c>
      <c r="B195" s="133" t="s">
        <v>446</v>
      </c>
      <c r="C195" s="133" t="s">
        <v>447</v>
      </c>
      <c r="D195" s="280">
        <v>12000</v>
      </c>
      <c r="E195" s="280">
        <v>12000</v>
      </c>
      <c r="F195" s="76">
        <v>1000</v>
      </c>
      <c r="G195" s="76">
        <v>1000</v>
      </c>
      <c r="H195" s="76">
        <v>600</v>
      </c>
      <c r="I195" s="76">
        <v>600</v>
      </c>
      <c r="J195" s="76">
        <v>480</v>
      </c>
      <c r="K195" s="502">
        <v>1414.29</v>
      </c>
      <c r="L195" s="76">
        <v>0</v>
      </c>
      <c r="M195" s="76">
        <v>841.34</v>
      </c>
      <c r="N195" s="237"/>
      <c r="O195" s="19"/>
    </row>
    <row r="196" spans="1:15" ht="15.75" customHeight="1">
      <c r="A196" s="138" t="s">
        <v>445</v>
      </c>
      <c r="B196" s="133" t="s">
        <v>448</v>
      </c>
      <c r="C196" s="133" t="s">
        <v>449</v>
      </c>
      <c r="D196" s="283" t="s">
        <v>44</v>
      </c>
      <c r="E196" s="283" t="s">
        <v>44</v>
      </c>
      <c r="F196" s="76">
        <v>1200</v>
      </c>
      <c r="G196" s="76">
        <v>1200</v>
      </c>
      <c r="H196" s="76">
        <v>700</v>
      </c>
      <c r="I196" s="76">
        <v>700</v>
      </c>
      <c r="J196" s="76">
        <v>450</v>
      </c>
      <c r="K196" s="502">
        <v>1174.51</v>
      </c>
      <c r="L196" s="76">
        <v>0</v>
      </c>
      <c r="M196" s="76">
        <v>1573.46</v>
      </c>
      <c r="N196" s="237"/>
      <c r="O196" s="19"/>
    </row>
    <row r="197" spans="1:15" ht="15.75" customHeight="1">
      <c r="A197" s="2"/>
      <c r="B197" s="133" t="s">
        <v>216</v>
      </c>
      <c r="C197" s="133" t="s">
        <v>450</v>
      </c>
      <c r="D197" s="280">
        <v>600</v>
      </c>
      <c r="E197" s="280">
        <v>600</v>
      </c>
      <c r="F197" s="76">
        <v>600</v>
      </c>
      <c r="G197" s="76">
        <v>600</v>
      </c>
      <c r="H197" s="76">
        <v>600</v>
      </c>
      <c r="I197" s="76">
        <v>600</v>
      </c>
      <c r="J197" s="76">
        <v>400</v>
      </c>
      <c r="K197" s="502">
        <v>466.22</v>
      </c>
      <c r="L197" s="76">
        <v>0</v>
      </c>
      <c r="M197" s="76">
        <v>1914.36</v>
      </c>
      <c r="N197" s="237"/>
      <c r="O197" s="19"/>
    </row>
    <row r="198" spans="1:15" ht="15.75" customHeight="1">
      <c r="A198" s="285" t="s">
        <v>451</v>
      </c>
      <c r="B198" s="133" t="s">
        <v>452</v>
      </c>
      <c r="C198" s="133" t="s">
        <v>453</v>
      </c>
      <c r="D198" s="280">
        <v>1500</v>
      </c>
      <c r="E198" s="280">
        <v>1500</v>
      </c>
      <c r="F198" s="76">
        <v>1400</v>
      </c>
      <c r="G198" s="76">
        <v>1400</v>
      </c>
      <c r="H198" s="76">
        <v>1200</v>
      </c>
      <c r="I198" s="76">
        <v>1200</v>
      </c>
      <c r="J198" s="76">
        <v>1000</v>
      </c>
      <c r="K198" s="502">
        <v>1224.5999999999999</v>
      </c>
      <c r="L198" s="76">
        <v>0</v>
      </c>
      <c r="M198" s="76">
        <v>1214.7</v>
      </c>
      <c r="N198" s="237"/>
      <c r="O198" s="19"/>
    </row>
    <row r="199" spans="1:15" ht="15.75" customHeight="1">
      <c r="A199" s="138" t="s">
        <v>454</v>
      </c>
      <c r="B199" s="133" t="s">
        <v>455</v>
      </c>
      <c r="C199" s="133" t="s">
        <v>456</v>
      </c>
      <c r="D199" s="280">
        <v>2000</v>
      </c>
      <c r="E199" s="280">
        <v>2000</v>
      </c>
      <c r="F199" s="76">
        <v>1000</v>
      </c>
      <c r="G199" s="76">
        <v>1000</v>
      </c>
      <c r="H199" s="76">
        <v>600</v>
      </c>
      <c r="I199" s="76">
        <v>600</v>
      </c>
      <c r="J199" s="76">
        <v>600</v>
      </c>
      <c r="K199" s="502">
        <v>5188.75</v>
      </c>
      <c r="L199" s="76">
        <v>0</v>
      </c>
      <c r="M199" s="76">
        <v>3150.72</v>
      </c>
      <c r="N199" s="237"/>
      <c r="O199" s="19"/>
    </row>
    <row r="200" spans="1:15" ht="15.75" customHeight="1">
      <c r="A200" s="2"/>
      <c r="B200" s="133" t="s">
        <v>457</v>
      </c>
      <c r="C200" s="133" t="s">
        <v>458</v>
      </c>
      <c r="D200" s="280">
        <v>26000</v>
      </c>
      <c r="E200" s="280">
        <v>26000</v>
      </c>
      <c r="F200" s="76">
        <v>24500</v>
      </c>
      <c r="G200" s="76">
        <v>24500</v>
      </c>
      <c r="H200" s="76">
        <v>21500</v>
      </c>
      <c r="I200" s="76">
        <v>21500</v>
      </c>
      <c r="J200" s="76">
        <v>16800</v>
      </c>
      <c r="K200" s="502">
        <v>26072.78</v>
      </c>
      <c r="L200" s="76">
        <v>0</v>
      </c>
      <c r="M200" s="76">
        <v>46601.5</v>
      </c>
      <c r="N200" s="237"/>
      <c r="O200" s="19"/>
    </row>
    <row r="201" spans="1:15" ht="15.75" customHeight="1">
      <c r="A201" s="2"/>
      <c r="B201" s="133" t="s">
        <v>459</v>
      </c>
      <c r="C201" s="133" t="s">
        <v>460</v>
      </c>
      <c r="D201" s="280">
        <v>18100</v>
      </c>
      <c r="E201" s="280">
        <v>18100</v>
      </c>
      <c r="F201" s="76">
        <v>19071.36</v>
      </c>
      <c r="G201" s="76">
        <v>19071.36</v>
      </c>
      <c r="H201" s="76">
        <v>17158.2</v>
      </c>
      <c r="I201" s="76">
        <v>17158.2</v>
      </c>
      <c r="J201" s="76">
        <v>11200</v>
      </c>
      <c r="K201" s="502">
        <v>20293.04</v>
      </c>
      <c r="L201" s="76">
        <v>0</v>
      </c>
      <c r="M201" s="76">
        <v>28031.43</v>
      </c>
      <c r="N201" s="237"/>
      <c r="O201" s="19"/>
    </row>
    <row r="202" spans="1:15" ht="15.75" customHeight="1">
      <c r="A202" s="2"/>
      <c r="B202" s="133" t="s">
        <v>461</v>
      </c>
      <c r="C202" s="133" t="s">
        <v>462</v>
      </c>
      <c r="D202" s="283" t="s">
        <v>44</v>
      </c>
      <c r="E202" s="283" t="s">
        <v>44</v>
      </c>
      <c r="F202" s="76">
        <v>0</v>
      </c>
      <c r="G202" s="76">
        <v>0</v>
      </c>
      <c r="H202" s="84" t="s">
        <v>44</v>
      </c>
      <c r="I202" s="84" t="s">
        <v>44</v>
      </c>
      <c r="J202" s="84" t="s">
        <v>44</v>
      </c>
      <c r="K202" s="502"/>
      <c r="L202" s="76">
        <v>0</v>
      </c>
      <c r="M202" s="76">
        <v>26.73</v>
      </c>
      <c r="N202" s="237"/>
      <c r="O202" s="19"/>
    </row>
    <row r="203" spans="1:15" ht="15.75" customHeight="1">
      <c r="A203" s="2"/>
      <c r="B203" s="133" t="s">
        <v>463</v>
      </c>
      <c r="C203" s="133" t="s">
        <v>464</v>
      </c>
      <c r="D203" s="283" t="s">
        <v>44</v>
      </c>
      <c r="E203" s="283" t="s">
        <v>44</v>
      </c>
      <c r="F203" s="76">
        <v>0</v>
      </c>
      <c r="G203" s="76">
        <v>0</v>
      </c>
      <c r="H203" s="84" t="s">
        <v>44</v>
      </c>
      <c r="I203" s="84" t="s">
        <v>44</v>
      </c>
      <c r="J203" s="84" t="s">
        <v>44</v>
      </c>
      <c r="K203" s="502"/>
      <c r="L203" s="76">
        <v>0</v>
      </c>
      <c r="M203" s="84" t="s">
        <v>44</v>
      </c>
      <c r="N203" s="237"/>
      <c r="O203" s="19"/>
    </row>
    <row r="204" spans="1:15" ht="15.75" customHeight="1">
      <c r="A204" s="2"/>
      <c r="B204" s="133" t="s">
        <v>241</v>
      </c>
      <c r="C204" s="133" t="s">
        <v>465</v>
      </c>
      <c r="D204" s="280">
        <v>250</v>
      </c>
      <c r="E204" s="280">
        <v>250</v>
      </c>
      <c r="F204" s="76">
        <v>250</v>
      </c>
      <c r="G204" s="76">
        <v>250</v>
      </c>
      <c r="H204" s="76">
        <v>300</v>
      </c>
      <c r="I204" s="76">
        <v>300</v>
      </c>
      <c r="J204" s="76">
        <v>300</v>
      </c>
      <c r="K204" s="502"/>
      <c r="L204" s="76">
        <v>0</v>
      </c>
      <c r="M204" s="76">
        <v>-300</v>
      </c>
      <c r="N204" s="237"/>
      <c r="O204" s="19"/>
    </row>
    <row r="205" spans="1:15" ht="15.75" customHeight="1">
      <c r="A205" s="138" t="s">
        <v>466</v>
      </c>
      <c r="B205" s="133" t="s">
        <v>467</v>
      </c>
      <c r="C205" s="133" t="s">
        <v>468</v>
      </c>
      <c r="D205" s="280">
        <v>2000</v>
      </c>
      <c r="E205" s="280">
        <v>2000</v>
      </c>
      <c r="F205" s="76">
        <v>2000</v>
      </c>
      <c r="G205" s="76">
        <v>2000</v>
      </c>
      <c r="H205" s="76">
        <v>1000</v>
      </c>
      <c r="I205" s="76">
        <v>1000</v>
      </c>
      <c r="J205" s="76">
        <v>500</v>
      </c>
      <c r="K205" s="502">
        <v>1965.7</v>
      </c>
      <c r="L205" s="76">
        <v>0</v>
      </c>
      <c r="M205" s="76">
        <v>2322.77</v>
      </c>
      <c r="N205" s="237"/>
      <c r="O205" s="19"/>
    </row>
    <row r="206" spans="1:15" ht="15.75" customHeight="1">
      <c r="A206" s="2"/>
      <c r="B206" s="133" t="s">
        <v>469</v>
      </c>
      <c r="C206" s="133" t="s">
        <v>470</v>
      </c>
      <c r="D206" s="280"/>
      <c r="E206" s="280"/>
      <c r="F206" s="76">
        <v>0</v>
      </c>
      <c r="G206" s="76">
        <v>0</v>
      </c>
      <c r="H206" s="76">
        <v>210</v>
      </c>
      <c r="I206" s="76">
        <v>210</v>
      </c>
      <c r="J206" s="84" t="s">
        <v>44</v>
      </c>
      <c r="K206" s="502"/>
      <c r="L206" s="76">
        <v>0</v>
      </c>
      <c r="M206" s="84" t="s">
        <v>44</v>
      </c>
      <c r="N206" s="237"/>
      <c r="O206" s="19"/>
    </row>
    <row r="207" spans="1:15" ht="15.75" customHeight="1">
      <c r="A207" s="2"/>
      <c r="B207" s="252" t="s">
        <v>299</v>
      </c>
      <c r="C207" s="254"/>
      <c r="D207" s="282"/>
      <c r="E207" s="282"/>
      <c r="F207" s="134"/>
      <c r="G207" s="134"/>
      <c r="H207" s="134"/>
      <c r="I207" s="134"/>
      <c r="J207" s="134"/>
      <c r="K207" s="502"/>
      <c r="L207" s="76">
        <v>0</v>
      </c>
      <c r="M207" s="134"/>
      <c r="N207" s="237"/>
      <c r="O207" s="19"/>
    </row>
    <row r="208" spans="1:15" ht="15.75" customHeight="1">
      <c r="A208" s="266" t="s">
        <v>315</v>
      </c>
      <c r="B208" s="263" t="s">
        <v>206</v>
      </c>
      <c r="C208" s="133" t="s">
        <v>421</v>
      </c>
      <c r="D208" s="283" t="s">
        <v>44</v>
      </c>
      <c r="E208" s="283" t="s">
        <v>44</v>
      </c>
      <c r="F208" s="76">
        <v>0</v>
      </c>
      <c r="G208" s="76">
        <v>0</v>
      </c>
      <c r="H208" s="76"/>
      <c r="I208" s="76"/>
      <c r="J208" s="76"/>
      <c r="K208" s="502">
        <v>109.37</v>
      </c>
      <c r="L208" s="76">
        <v>330.15</v>
      </c>
      <c r="M208" s="76"/>
      <c r="N208" s="284"/>
      <c r="O208" s="19"/>
    </row>
    <row r="209" spans="1:15" ht="15.75" customHeight="1">
      <c r="A209" s="266" t="s">
        <v>315</v>
      </c>
      <c r="B209" s="263" t="s">
        <v>422</v>
      </c>
      <c r="C209" s="133" t="s">
        <v>423</v>
      </c>
      <c r="D209" s="283" t="s">
        <v>44</v>
      </c>
      <c r="E209" s="283" t="s">
        <v>44</v>
      </c>
      <c r="F209" s="76">
        <v>0</v>
      </c>
      <c r="G209" s="76">
        <v>0</v>
      </c>
      <c r="H209" s="76"/>
      <c r="I209" s="76"/>
      <c r="J209" s="76"/>
      <c r="K209" s="502">
        <v>204</v>
      </c>
      <c r="L209" s="76">
        <v>205.04</v>
      </c>
      <c r="M209" s="76"/>
      <c r="N209" s="284"/>
      <c r="O209" s="19"/>
    </row>
    <row r="210" spans="1:15" ht="15.75" customHeight="1">
      <c r="A210" s="138" t="s">
        <v>471</v>
      </c>
      <c r="B210" s="133" t="s">
        <v>472</v>
      </c>
      <c r="C210" s="133" t="s">
        <v>473</v>
      </c>
      <c r="D210" s="286"/>
      <c r="E210" s="286"/>
      <c r="F210" s="76"/>
      <c r="G210" s="76"/>
      <c r="H210" s="76">
        <v>300</v>
      </c>
      <c r="I210" s="76">
        <v>300</v>
      </c>
      <c r="J210" s="76">
        <v>600</v>
      </c>
      <c r="K210" s="502"/>
      <c r="L210" s="76">
        <v>0</v>
      </c>
      <c r="M210" s="76">
        <v>152.5</v>
      </c>
      <c r="N210" s="237"/>
      <c r="O210" s="19"/>
    </row>
    <row r="211" spans="1:15" ht="15.75" customHeight="1">
      <c r="A211" s="266" t="s">
        <v>315</v>
      </c>
      <c r="B211" s="133" t="s">
        <v>241</v>
      </c>
      <c r="C211" s="133" t="s">
        <v>424</v>
      </c>
      <c r="D211" s="283" t="s">
        <v>44</v>
      </c>
      <c r="E211" s="283" t="s">
        <v>44</v>
      </c>
      <c r="F211" s="76">
        <v>0</v>
      </c>
      <c r="G211" s="76">
        <v>0</v>
      </c>
      <c r="H211" s="76"/>
      <c r="I211" s="76"/>
      <c r="J211" s="76"/>
      <c r="K211" s="502">
        <v>439.59</v>
      </c>
      <c r="L211" s="76">
        <v>436.45</v>
      </c>
      <c r="M211" s="76"/>
      <c r="N211" s="284"/>
      <c r="O211" s="19"/>
    </row>
    <row r="212" spans="1:15" ht="15.75" customHeight="1">
      <c r="A212" s="2"/>
      <c r="B212" s="133" t="s">
        <v>474</v>
      </c>
      <c r="C212" s="133" t="s">
        <v>475</v>
      </c>
      <c r="D212" s="280">
        <v>5000</v>
      </c>
      <c r="E212" s="280">
        <v>5000</v>
      </c>
      <c r="F212" s="76">
        <v>5000</v>
      </c>
      <c r="G212" s="76">
        <v>5000</v>
      </c>
      <c r="H212" s="76">
        <v>4000</v>
      </c>
      <c r="I212" s="76">
        <v>4000</v>
      </c>
      <c r="J212" s="76">
        <v>6000</v>
      </c>
      <c r="K212" s="502">
        <v>1361.14</v>
      </c>
      <c r="L212" s="76">
        <v>0</v>
      </c>
      <c r="M212" s="76">
        <v>2486.27</v>
      </c>
      <c r="N212" s="237"/>
      <c r="O212" s="19"/>
    </row>
    <row r="213" spans="1:15" ht="15.75" customHeight="1">
      <c r="A213" s="138" t="s">
        <v>476</v>
      </c>
      <c r="B213" s="133" t="s">
        <v>477</v>
      </c>
      <c r="C213" s="133" t="s">
        <v>478</v>
      </c>
      <c r="D213" s="280">
        <v>6000</v>
      </c>
      <c r="E213" s="280">
        <v>6000</v>
      </c>
      <c r="F213" s="76">
        <v>2000</v>
      </c>
      <c r="G213" s="76">
        <v>2000</v>
      </c>
      <c r="H213" s="76">
        <v>5000</v>
      </c>
      <c r="I213" s="76">
        <v>5000</v>
      </c>
      <c r="J213" s="76">
        <v>3000</v>
      </c>
      <c r="K213" s="502"/>
      <c r="L213" s="76">
        <v>934.17</v>
      </c>
      <c r="M213" s="76">
        <v>7000</v>
      </c>
      <c r="N213" s="237"/>
      <c r="O213" s="19"/>
    </row>
    <row r="214" spans="1:15" ht="15.75" customHeight="1">
      <c r="A214" s="2"/>
      <c r="B214" s="133" t="s">
        <v>425</v>
      </c>
      <c r="C214" s="133" t="s">
        <v>479</v>
      </c>
      <c r="D214" s="280">
        <v>5000</v>
      </c>
      <c r="E214" s="280">
        <v>5000</v>
      </c>
      <c r="F214" s="76">
        <v>4500</v>
      </c>
      <c r="G214" s="76">
        <v>4500</v>
      </c>
      <c r="H214" s="76">
        <v>4500</v>
      </c>
      <c r="I214" s="76">
        <v>4500</v>
      </c>
      <c r="J214" s="76">
        <v>2000</v>
      </c>
      <c r="K214" s="502">
        <v>4926.08</v>
      </c>
      <c r="L214" s="76">
        <v>3460.88</v>
      </c>
      <c r="M214" s="76">
        <v>855.99</v>
      </c>
      <c r="N214" s="237"/>
      <c r="O214" s="19"/>
    </row>
    <row r="215" spans="1:15" ht="15.75" customHeight="1">
      <c r="A215" s="2"/>
      <c r="B215" s="128" t="s">
        <v>480</v>
      </c>
      <c r="C215" s="287"/>
      <c r="D215" s="288" t="s">
        <v>44</v>
      </c>
      <c r="E215" s="288" t="s">
        <v>44</v>
      </c>
      <c r="F215" s="256">
        <v>0</v>
      </c>
      <c r="G215" s="256">
        <v>0</v>
      </c>
      <c r="H215" s="90" t="s">
        <v>44</v>
      </c>
      <c r="I215" s="90" t="s">
        <v>44</v>
      </c>
      <c r="J215" s="120">
        <v>4000</v>
      </c>
      <c r="K215" s="503"/>
      <c r="L215" s="120">
        <v>0</v>
      </c>
      <c r="M215" s="90" t="s">
        <v>44</v>
      </c>
      <c r="N215" s="237"/>
      <c r="O215" s="19"/>
    </row>
    <row r="216" spans="1:15" ht="15.75" customHeight="1">
      <c r="A216" s="2"/>
      <c r="B216" s="239"/>
      <c r="C216" s="54" t="s">
        <v>197</v>
      </c>
      <c r="D216" s="240">
        <f t="shared" ref="D216" si="2">SUM(D165:D215)</f>
        <v>112852.23000000001</v>
      </c>
      <c r="E216" s="240">
        <f t="shared" ref="E216:K216" si="3">SUM(E165:E215)</f>
        <v>112852.23000000001</v>
      </c>
      <c r="F216" s="240">
        <f t="shared" si="3"/>
        <v>86408.927999999985</v>
      </c>
      <c r="G216" s="41">
        <f t="shared" si="3"/>
        <v>86408.927999999985</v>
      </c>
      <c r="H216" s="41">
        <f t="shared" si="3"/>
        <v>86684.87000000001</v>
      </c>
      <c r="I216" s="41">
        <f t="shared" si="3"/>
        <v>99798.87000000001</v>
      </c>
      <c r="J216" s="41">
        <f t="shared" si="3"/>
        <v>90840.01</v>
      </c>
      <c r="K216" s="519">
        <f t="shared" si="3"/>
        <v>92579.64</v>
      </c>
      <c r="L216" s="41">
        <v>88093.2</v>
      </c>
      <c r="M216" s="41">
        <f>SUM(M165:M215)</f>
        <v>140942.59639999998</v>
      </c>
      <c r="N216" s="237"/>
      <c r="O216" s="19"/>
    </row>
    <row r="217" spans="1:15" ht="15.75" customHeight="1">
      <c r="A217" s="2"/>
      <c r="B217" s="171" t="s">
        <v>481</v>
      </c>
      <c r="C217" s="258"/>
      <c r="D217" s="258"/>
      <c r="E217" s="258"/>
      <c r="F217" s="258"/>
      <c r="G217" s="289"/>
      <c r="H217" s="10"/>
      <c r="I217" s="11"/>
      <c r="J217" s="11"/>
      <c r="K217" s="502"/>
      <c r="L217" s="236"/>
      <c r="M217" s="11"/>
      <c r="N217" s="237"/>
      <c r="O217" s="19"/>
    </row>
    <row r="218" spans="1:15" ht="15.75" customHeight="1">
      <c r="A218" s="2"/>
      <c r="B218" s="133" t="s">
        <v>198</v>
      </c>
      <c r="C218" s="133" t="s">
        <v>482</v>
      </c>
      <c r="D218" s="76">
        <v>37652.9</v>
      </c>
      <c r="E218" s="76">
        <v>37652.9</v>
      </c>
      <c r="F218" s="76">
        <v>36663</v>
      </c>
      <c r="G218" s="76">
        <v>36663</v>
      </c>
      <c r="H218" s="76">
        <v>36663</v>
      </c>
      <c r="I218" s="76">
        <v>36663</v>
      </c>
      <c r="J218" s="76">
        <v>36400</v>
      </c>
      <c r="K218" s="502">
        <v>43545.87</v>
      </c>
      <c r="L218" s="76">
        <v>36662.959999999999</v>
      </c>
      <c r="M218" s="76">
        <v>28479.200000000001</v>
      </c>
      <c r="N218" s="237"/>
      <c r="O218" s="290"/>
    </row>
    <row r="219" spans="1:15" ht="15.75" customHeight="1">
      <c r="A219" s="2"/>
      <c r="B219" s="133" t="s">
        <v>200</v>
      </c>
      <c r="C219" s="133" t="s">
        <v>483</v>
      </c>
      <c r="D219" s="76">
        <v>8015.33</v>
      </c>
      <c r="E219" s="76">
        <v>8015.33</v>
      </c>
      <c r="F219" s="76">
        <v>6166.41</v>
      </c>
      <c r="G219" s="76">
        <v>6166.41</v>
      </c>
      <c r="H219" s="76">
        <v>6166.41</v>
      </c>
      <c r="I219" s="76">
        <v>6166.41</v>
      </c>
      <c r="J219" s="76">
        <v>5092</v>
      </c>
      <c r="K219" s="502">
        <v>10280.08</v>
      </c>
      <c r="L219" s="76">
        <v>8170.1399999999994</v>
      </c>
      <c r="M219" s="76">
        <v>6429.65</v>
      </c>
      <c r="N219" s="237"/>
      <c r="O219" s="290"/>
    </row>
    <row r="220" spans="1:15" ht="15.75" customHeight="1">
      <c r="A220" s="2"/>
      <c r="B220" s="133" t="s">
        <v>204</v>
      </c>
      <c r="C220" s="133" t="s">
        <v>484</v>
      </c>
      <c r="D220" s="76">
        <v>740</v>
      </c>
      <c r="E220" s="76">
        <v>740</v>
      </c>
      <c r="F220" s="76">
        <v>1260</v>
      </c>
      <c r="G220" s="76">
        <v>1260</v>
      </c>
      <c r="H220" s="76">
        <v>1260</v>
      </c>
      <c r="I220" s="76">
        <v>1260</v>
      </c>
      <c r="J220" s="76">
        <v>1260</v>
      </c>
      <c r="K220" s="502">
        <v>1159.57</v>
      </c>
      <c r="L220" s="76">
        <v>11404.4</v>
      </c>
      <c r="M220" s="76">
        <v>949.55</v>
      </c>
      <c r="N220" s="237"/>
      <c r="O220" s="290"/>
    </row>
    <row r="221" spans="1:15" ht="15.75" customHeight="1">
      <c r="A221" s="2"/>
      <c r="B221" s="133" t="s">
        <v>206</v>
      </c>
      <c r="C221" s="133" t="s">
        <v>485</v>
      </c>
      <c r="D221" s="76">
        <v>400</v>
      </c>
      <c r="E221" s="76">
        <v>400</v>
      </c>
      <c r="F221" s="76">
        <v>400</v>
      </c>
      <c r="G221" s="76">
        <v>400</v>
      </c>
      <c r="H221" s="76">
        <v>400</v>
      </c>
      <c r="I221" s="76">
        <v>200</v>
      </c>
      <c r="J221" s="76">
        <v>200</v>
      </c>
      <c r="K221" s="502">
        <v>40.71</v>
      </c>
      <c r="L221" s="76">
        <v>380.51</v>
      </c>
      <c r="M221" s="76">
        <v>380.51</v>
      </c>
      <c r="N221" s="242"/>
      <c r="O221" s="290"/>
    </row>
    <row r="222" spans="1:15" ht="15.75" customHeight="1">
      <c r="A222" s="2"/>
      <c r="B222" s="133" t="s">
        <v>208</v>
      </c>
      <c r="C222" s="133" t="s">
        <v>486</v>
      </c>
      <c r="D222" s="76">
        <v>50</v>
      </c>
      <c r="E222" s="76">
        <v>50</v>
      </c>
      <c r="F222" s="76">
        <v>0</v>
      </c>
      <c r="G222" s="76">
        <v>0</v>
      </c>
      <c r="H222" s="76">
        <v>0</v>
      </c>
      <c r="I222" s="76">
        <v>0</v>
      </c>
      <c r="J222" s="84" t="s">
        <v>44</v>
      </c>
      <c r="K222" s="502">
        <v>231.6</v>
      </c>
      <c r="L222" s="76">
        <v>0</v>
      </c>
      <c r="M222" s="84" t="s">
        <v>44</v>
      </c>
      <c r="N222" s="242"/>
      <c r="O222" s="19"/>
    </row>
    <row r="223" spans="1:15" ht="15.75" customHeight="1">
      <c r="A223" s="2"/>
      <c r="B223" s="133" t="s">
        <v>167</v>
      </c>
      <c r="C223" s="133" t="s">
        <v>487</v>
      </c>
      <c r="D223" s="76">
        <v>500</v>
      </c>
      <c r="E223" s="76">
        <v>500</v>
      </c>
      <c r="F223" s="76">
        <v>400</v>
      </c>
      <c r="G223" s="76">
        <v>400</v>
      </c>
      <c r="H223" s="76">
        <v>400</v>
      </c>
      <c r="I223" s="76">
        <v>400</v>
      </c>
      <c r="J223" s="76">
        <v>450</v>
      </c>
      <c r="K223" s="502">
        <v>5286.9</v>
      </c>
      <c r="L223" s="76">
        <v>7674.77</v>
      </c>
      <c r="M223" s="76">
        <v>615.80999999999995</v>
      </c>
      <c r="N223" s="242"/>
      <c r="O223" s="19"/>
    </row>
    <row r="224" spans="1:15" ht="15.75" customHeight="1">
      <c r="A224" s="2"/>
      <c r="B224" s="133" t="s">
        <v>169</v>
      </c>
      <c r="C224" s="133" t="s">
        <v>488</v>
      </c>
      <c r="D224" s="76">
        <v>200</v>
      </c>
      <c r="E224" s="76">
        <v>200</v>
      </c>
      <c r="F224" s="76">
        <v>25</v>
      </c>
      <c r="G224" s="76">
        <v>25</v>
      </c>
      <c r="H224" s="76">
        <v>25</v>
      </c>
      <c r="I224" s="76">
        <v>25</v>
      </c>
      <c r="J224" s="76">
        <v>50</v>
      </c>
      <c r="K224" s="502">
        <v>106.86</v>
      </c>
      <c r="L224" s="76">
        <v>155.4</v>
      </c>
      <c r="M224" s="76">
        <v>155.28</v>
      </c>
      <c r="N224" s="242"/>
      <c r="O224" s="19"/>
    </row>
    <row r="225" spans="1:15" ht="15.75" customHeight="1">
      <c r="A225" s="138" t="s">
        <v>489</v>
      </c>
      <c r="B225" s="133" t="s">
        <v>212</v>
      </c>
      <c r="C225" s="133" t="s">
        <v>490</v>
      </c>
      <c r="D225" s="76">
        <v>3000</v>
      </c>
      <c r="E225" s="76">
        <v>3000</v>
      </c>
      <c r="F225" s="76">
        <v>3000</v>
      </c>
      <c r="G225" s="76">
        <v>3000</v>
      </c>
      <c r="H225" s="76">
        <v>3000</v>
      </c>
      <c r="I225" s="76">
        <v>3000</v>
      </c>
      <c r="J225" s="76">
        <v>3000</v>
      </c>
      <c r="K225" s="502">
        <v>215</v>
      </c>
      <c r="L225" s="76">
        <v>1502.34</v>
      </c>
      <c r="M225" s="76">
        <v>1502.34</v>
      </c>
      <c r="N225" s="242"/>
      <c r="O225" s="19"/>
    </row>
    <row r="226" spans="1:15" ht="15.75" customHeight="1">
      <c r="A226" s="2"/>
      <c r="B226" s="133" t="s">
        <v>218</v>
      </c>
      <c r="C226" s="133" t="s">
        <v>491</v>
      </c>
      <c r="D226" s="76">
        <v>1500</v>
      </c>
      <c r="E226" s="76">
        <v>1500</v>
      </c>
      <c r="F226" s="76">
        <v>1500</v>
      </c>
      <c r="G226" s="76">
        <v>1500</v>
      </c>
      <c r="H226" s="76">
        <v>1500</v>
      </c>
      <c r="I226" s="76">
        <v>1500</v>
      </c>
      <c r="J226" s="76">
        <v>1772</v>
      </c>
      <c r="K226" s="502"/>
      <c r="L226" s="76">
        <v>90.5</v>
      </c>
      <c r="M226" s="76">
        <v>90.5</v>
      </c>
      <c r="N226" s="242"/>
      <c r="O226" s="19"/>
    </row>
    <row r="227" spans="1:15" ht="15.75" customHeight="1">
      <c r="A227" s="2"/>
      <c r="B227" s="133" t="s">
        <v>276</v>
      </c>
      <c r="C227" s="133" t="s">
        <v>492</v>
      </c>
      <c r="D227" s="76">
        <v>500</v>
      </c>
      <c r="E227" s="76">
        <v>500</v>
      </c>
      <c r="F227" s="76">
        <v>100</v>
      </c>
      <c r="G227" s="76">
        <v>100</v>
      </c>
      <c r="H227" s="76">
        <v>200</v>
      </c>
      <c r="I227" s="76">
        <v>200</v>
      </c>
      <c r="J227" s="76">
        <v>100</v>
      </c>
      <c r="K227" s="502"/>
      <c r="L227" s="76">
        <v>0</v>
      </c>
      <c r="M227" s="84" t="s">
        <v>44</v>
      </c>
      <c r="N227" s="242"/>
      <c r="O227" s="19"/>
    </row>
    <row r="228" spans="1:15" ht="15.75" customHeight="1">
      <c r="A228" s="2"/>
      <c r="B228" s="133" t="s">
        <v>223</v>
      </c>
      <c r="C228" s="133" t="s">
        <v>493</v>
      </c>
      <c r="D228" s="76">
        <v>150</v>
      </c>
      <c r="E228" s="76">
        <v>150</v>
      </c>
      <c r="F228" s="76">
        <v>150</v>
      </c>
      <c r="G228" s="76">
        <v>150</v>
      </c>
      <c r="H228" s="76">
        <v>150</v>
      </c>
      <c r="I228" s="76">
        <v>150</v>
      </c>
      <c r="J228" s="76">
        <v>150</v>
      </c>
      <c r="K228" s="502"/>
      <c r="L228" s="76">
        <v>0</v>
      </c>
      <c r="M228" s="84" t="s">
        <v>44</v>
      </c>
      <c r="N228" s="242"/>
      <c r="O228" s="19"/>
    </row>
    <row r="229" spans="1:15" ht="15.75" customHeight="1">
      <c r="A229" s="2"/>
      <c r="B229" s="252" t="s">
        <v>494</v>
      </c>
      <c r="C229" s="254"/>
      <c r="D229" s="238"/>
      <c r="E229" s="238"/>
      <c r="F229" s="134"/>
      <c r="G229" s="134"/>
      <c r="H229" s="134"/>
      <c r="I229" s="134"/>
      <c r="J229" s="134"/>
      <c r="K229" s="502"/>
      <c r="L229" s="76">
        <v>0</v>
      </c>
      <c r="M229" s="134"/>
      <c r="N229" s="291"/>
      <c r="O229" s="19"/>
    </row>
    <row r="230" spans="1:15" ht="15.75" customHeight="1">
      <c r="A230" s="138" t="s">
        <v>495</v>
      </c>
      <c r="B230" s="133" t="s">
        <v>198</v>
      </c>
      <c r="C230" s="133" t="s">
        <v>496</v>
      </c>
      <c r="D230" s="238">
        <v>64928.3</v>
      </c>
      <c r="E230" s="238">
        <v>64928.3</v>
      </c>
      <c r="F230" s="134">
        <v>68310</v>
      </c>
      <c r="G230" s="134">
        <v>68310</v>
      </c>
      <c r="H230" s="76">
        <v>52741</v>
      </c>
      <c r="I230" s="76">
        <v>52741</v>
      </c>
      <c r="J230" s="76">
        <v>31368.6</v>
      </c>
      <c r="K230" s="502">
        <v>58627.5</v>
      </c>
      <c r="L230" s="76">
        <v>47054</v>
      </c>
      <c r="M230" s="76">
        <v>35628.800000000003</v>
      </c>
      <c r="N230" s="242"/>
      <c r="O230" s="19"/>
    </row>
    <row r="231" spans="1:15" ht="15.75" customHeight="1">
      <c r="A231" s="2"/>
      <c r="B231" s="133" t="s">
        <v>200</v>
      </c>
      <c r="C231" s="133" t="s">
        <v>497</v>
      </c>
      <c r="D231" s="76">
        <f>0.07*D230</f>
        <v>4544.9810000000007</v>
      </c>
      <c r="E231" s="76">
        <f>0.07*E230</f>
        <v>4544.9810000000007</v>
      </c>
      <c r="F231" s="76">
        <f>0.07*F230</f>
        <v>4781.7000000000007</v>
      </c>
      <c r="G231" s="76">
        <f>0.07*G230</f>
        <v>4781.7000000000007</v>
      </c>
      <c r="H231" s="76">
        <v>3691.87</v>
      </c>
      <c r="I231" s="76">
        <v>3691.87</v>
      </c>
      <c r="J231" s="76">
        <v>2195.8000000000002</v>
      </c>
      <c r="K231" s="502"/>
      <c r="L231" s="76">
        <v>0</v>
      </c>
      <c r="M231" s="84" t="s">
        <v>44</v>
      </c>
      <c r="N231" s="242"/>
      <c r="O231" s="19"/>
    </row>
    <row r="232" spans="1:15" ht="15.75" customHeight="1">
      <c r="A232" s="2"/>
      <c r="B232" s="133" t="s">
        <v>202</v>
      </c>
      <c r="C232" s="133" t="s">
        <v>498</v>
      </c>
      <c r="D232" s="292"/>
      <c r="E232" s="292"/>
      <c r="F232" s="76">
        <v>0</v>
      </c>
      <c r="G232" s="76">
        <v>0</v>
      </c>
      <c r="H232" s="76">
        <v>3900</v>
      </c>
      <c r="I232" s="76">
        <v>3900</v>
      </c>
      <c r="J232" s="84" t="s">
        <v>44</v>
      </c>
      <c r="K232" s="502"/>
      <c r="L232" s="76">
        <v>0</v>
      </c>
      <c r="M232" s="84" t="s">
        <v>44</v>
      </c>
      <c r="N232" s="242"/>
      <c r="O232" s="19"/>
    </row>
    <row r="233" spans="1:15" ht="15.75" customHeight="1">
      <c r="A233" s="2"/>
      <c r="B233" s="133" t="s">
        <v>499</v>
      </c>
      <c r="C233" s="133" t="s">
        <v>500</v>
      </c>
      <c r="D233" s="76">
        <v>1000</v>
      </c>
      <c r="E233" s="76">
        <v>1000</v>
      </c>
      <c r="F233" s="76">
        <v>3000</v>
      </c>
      <c r="G233" s="76">
        <v>3000</v>
      </c>
      <c r="H233" s="76">
        <v>2000</v>
      </c>
      <c r="I233" s="76">
        <v>2000</v>
      </c>
      <c r="J233" s="76">
        <v>1000</v>
      </c>
      <c r="K233" s="502"/>
      <c r="L233" s="76">
        <v>1000</v>
      </c>
      <c r="M233" s="84" t="s">
        <v>44</v>
      </c>
      <c r="N233" s="242"/>
      <c r="O233" s="19"/>
    </row>
    <row r="234" spans="1:15" ht="15.75" customHeight="1">
      <c r="A234" s="2"/>
      <c r="B234" s="133" t="s">
        <v>204</v>
      </c>
      <c r="C234" s="133" t="s">
        <v>501</v>
      </c>
      <c r="D234" s="76">
        <v>400</v>
      </c>
      <c r="E234" s="76">
        <v>400</v>
      </c>
      <c r="F234" s="76">
        <v>400</v>
      </c>
      <c r="G234" s="76">
        <v>400</v>
      </c>
      <c r="H234" s="76">
        <v>400</v>
      </c>
      <c r="I234" s="76">
        <v>400</v>
      </c>
      <c r="J234" s="76">
        <v>600</v>
      </c>
      <c r="K234" s="502"/>
      <c r="L234" s="76">
        <v>90.2</v>
      </c>
      <c r="M234" s="76">
        <v>90.2</v>
      </c>
      <c r="N234" s="242"/>
      <c r="O234" s="19"/>
    </row>
    <row r="235" spans="1:15" ht="15.75" customHeight="1">
      <c r="A235" s="2"/>
      <c r="B235" s="133" t="s">
        <v>206</v>
      </c>
      <c r="C235" s="133" t="s">
        <v>502</v>
      </c>
      <c r="D235" s="76">
        <v>300</v>
      </c>
      <c r="E235" s="76">
        <v>300</v>
      </c>
      <c r="F235" s="76">
        <v>300</v>
      </c>
      <c r="G235" s="76">
        <v>300</v>
      </c>
      <c r="H235" s="76">
        <v>300</v>
      </c>
      <c r="I235" s="76">
        <v>300</v>
      </c>
      <c r="J235" s="76">
        <v>300</v>
      </c>
      <c r="K235" s="502"/>
      <c r="L235" s="76">
        <v>117.03</v>
      </c>
      <c r="M235" s="76">
        <v>117.03</v>
      </c>
      <c r="N235" s="291"/>
      <c r="O235" s="19"/>
    </row>
    <row r="236" spans="1:15" ht="15.75" customHeight="1">
      <c r="A236" s="2"/>
      <c r="B236" s="133" t="s">
        <v>167</v>
      </c>
      <c r="C236" s="133" t="s">
        <v>503</v>
      </c>
      <c r="D236" s="76"/>
      <c r="E236" s="76"/>
      <c r="F236" s="76">
        <v>200</v>
      </c>
      <c r="G236" s="76">
        <v>200</v>
      </c>
      <c r="H236" s="76">
        <v>200</v>
      </c>
      <c r="I236" s="76">
        <v>200</v>
      </c>
      <c r="J236" s="76">
        <v>200</v>
      </c>
      <c r="K236" s="502"/>
      <c r="L236" s="76">
        <v>160.79</v>
      </c>
      <c r="M236" s="76">
        <v>160.79</v>
      </c>
      <c r="N236" s="242"/>
      <c r="O236" s="19"/>
    </row>
    <row r="237" spans="1:15" ht="15.75" customHeight="1">
      <c r="A237" s="2"/>
      <c r="B237" s="133" t="s">
        <v>169</v>
      </c>
      <c r="C237" s="133" t="s">
        <v>504</v>
      </c>
      <c r="D237" s="76">
        <v>40</v>
      </c>
      <c r="E237" s="76">
        <v>40</v>
      </c>
      <c r="F237" s="76">
        <v>25</v>
      </c>
      <c r="G237" s="76">
        <v>25</v>
      </c>
      <c r="H237" s="76">
        <v>25</v>
      </c>
      <c r="I237" s="76">
        <v>25</v>
      </c>
      <c r="J237" s="76">
        <v>150</v>
      </c>
      <c r="K237" s="502">
        <v>98.22</v>
      </c>
      <c r="L237" s="76">
        <v>25</v>
      </c>
      <c r="M237" s="76">
        <v>25</v>
      </c>
      <c r="N237" s="242"/>
      <c r="O237" s="19"/>
    </row>
    <row r="238" spans="1:15" ht="15.75" customHeight="1">
      <c r="A238" s="2"/>
      <c r="B238" s="133" t="s">
        <v>236</v>
      </c>
      <c r="C238" s="133" t="s">
        <v>505</v>
      </c>
      <c r="D238" s="76">
        <v>600</v>
      </c>
      <c r="E238" s="76">
        <v>600</v>
      </c>
      <c r="F238" s="76">
        <v>600</v>
      </c>
      <c r="G238" s="76">
        <v>600</v>
      </c>
      <c r="H238" s="76">
        <v>400</v>
      </c>
      <c r="I238" s="76">
        <v>400</v>
      </c>
      <c r="J238" s="76">
        <v>300</v>
      </c>
      <c r="K238" s="502">
        <v>51.82</v>
      </c>
      <c r="L238" s="76">
        <v>683.1</v>
      </c>
      <c r="M238" s="76">
        <v>683.1</v>
      </c>
      <c r="N238" s="242"/>
      <c r="O238" s="19"/>
    </row>
    <row r="239" spans="1:15" ht="15.75" customHeight="1">
      <c r="A239" s="2"/>
      <c r="B239" s="133" t="s">
        <v>506</v>
      </c>
      <c r="C239" s="133" t="s">
        <v>507</v>
      </c>
      <c r="D239" s="76">
        <v>1500</v>
      </c>
      <c r="E239" s="76">
        <v>1500</v>
      </c>
      <c r="F239" s="76">
        <v>1000</v>
      </c>
      <c r="G239" s="76">
        <v>1000</v>
      </c>
      <c r="H239" s="76">
        <v>0</v>
      </c>
      <c r="I239" s="76">
        <v>0</v>
      </c>
      <c r="J239" s="84" t="s">
        <v>44</v>
      </c>
      <c r="K239" s="502"/>
      <c r="L239" s="76">
        <v>0</v>
      </c>
      <c r="M239" s="84" t="s">
        <v>44</v>
      </c>
      <c r="N239" s="242"/>
      <c r="O239" s="19"/>
    </row>
    <row r="240" spans="1:15" ht="15.75" customHeight="1">
      <c r="A240" s="2"/>
      <c r="B240" s="133" t="s">
        <v>508</v>
      </c>
      <c r="C240" s="133" t="s">
        <v>509</v>
      </c>
      <c r="D240" s="76">
        <v>1200</v>
      </c>
      <c r="E240" s="76">
        <v>1200</v>
      </c>
      <c r="F240" s="76">
        <v>1200</v>
      </c>
      <c r="G240" s="76">
        <v>1200</v>
      </c>
      <c r="H240" s="76">
        <v>1200</v>
      </c>
      <c r="I240" s="76">
        <v>1200</v>
      </c>
      <c r="J240" s="76">
        <v>1200</v>
      </c>
      <c r="K240" s="502">
        <v>594.72</v>
      </c>
      <c r="L240" s="76">
        <v>4.5</v>
      </c>
      <c r="M240" s="76">
        <v>4.5</v>
      </c>
      <c r="N240" s="242"/>
      <c r="O240" s="19"/>
    </row>
    <row r="241" spans="1:15" ht="15.75" customHeight="1">
      <c r="A241" s="45"/>
      <c r="B241" s="252" t="s">
        <v>510</v>
      </c>
      <c r="C241" s="254"/>
      <c r="D241" s="238"/>
      <c r="E241" s="238"/>
      <c r="F241" s="134"/>
      <c r="G241" s="134"/>
      <c r="H241" s="134"/>
      <c r="I241" s="134"/>
      <c r="J241" s="134"/>
      <c r="K241" s="502"/>
      <c r="L241" s="76"/>
      <c r="M241" s="134"/>
      <c r="N241" s="291"/>
      <c r="O241" s="19"/>
    </row>
    <row r="242" spans="1:15" ht="15.75" customHeight="1">
      <c r="A242" s="122" t="s">
        <v>511</v>
      </c>
      <c r="B242" s="133" t="s">
        <v>177</v>
      </c>
      <c r="C242" s="133" t="s">
        <v>512</v>
      </c>
      <c r="D242" s="76">
        <v>2000</v>
      </c>
      <c r="E242" s="76">
        <v>2000</v>
      </c>
      <c r="F242" s="76">
        <v>1000</v>
      </c>
      <c r="G242" s="76">
        <v>1500</v>
      </c>
      <c r="H242" s="76">
        <v>1500</v>
      </c>
      <c r="I242" s="76">
        <v>1500</v>
      </c>
      <c r="J242" s="76">
        <v>1300</v>
      </c>
      <c r="K242" s="502">
        <v>275</v>
      </c>
      <c r="L242" s="76">
        <v>96.76</v>
      </c>
      <c r="M242" s="76">
        <v>78.86</v>
      </c>
      <c r="N242" s="242"/>
      <c r="O242" s="19"/>
    </row>
    <row r="243" spans="1:15" ht="15.75" customHeight="1">
      <c r="A243" s="123"/>
      <c r="B243" s="133" t="s">
        <v>513</v>
      </c>
      <c r="C243" s="133" t="s">
        <v>514</v>
      </c>
      <c r="D243" s="76">
        <v>1500</v>
      </c>
      <c r="E243" s="76">
        <v>1500</v>
      </c>
      <c r="F243" s="76">
        <v>500</v>
      </c>
      <c r="G243" s="76">
        <v>500</v>
      </c>
      <c r="H243" s="76">
        <v>500</v>
      </c>
      <c r="I243" s="76">
        <v>500</v>
      </c>
      <c r="J243" s="76">
        <v>350</v>
      </c>
      <c r="K243" s="502"/>
      <c r="L243" s="76">
        <v>0</v>
      </c>
      <c r="M243" s="84" t="s">
        <v>44</v>
      </c>
      <c r="N243" s="242"/>
      <c r="O243" s="19"/>
    </row>
    <row r="244" spans="1:15" ht="15.75" customHeight="1">
      <c r="A244" s="2"/>
      <c r="B244" s="133" t="s">
        <v>515</v>
      </c>
      <c r="C244" s="133" t="s">
        <v>516</v>
      </c>
      <c r="D244" s="293" t="s">
        <v>517</v>
      </c>
      <c r="E244" s="293" t="s">
        <v>517</v>
      </c>
      <c r="F244" s="76">
        <v>0</v>
      </c>
      <c r="G244" s="76">
        <v>0</v>
      </c>
      <c r="H244" s="76">
        <v>0</v>
      </c>
      <c r="I244" s="76">
        <v>0</v>
      </c>
      <c r="J244" s="84" t="s">
        <v>44</v>
      </c>
      <c r="K244" s="502"/>
      <c r="L244" s="76">
        <v>0</v>
      </c>
      <c r="M244" s="84" t="s">
        <v>44</v>
      </c>
      <c r="N244" s="242"/>
      <c r="O244" s="19"/>
    </row>
    <row r="245" spans="1:15" ht="15.75" customHeight="1">
      <c r="A245" s="138" t="s">
        <v>518</v>
      </c>
      <c r="B245" s="128" t="s">
        <v>241</v>
      </c>
      <c r="C245" s="128" t="s">
        <v>519</v>
      </c>
      <c r="D245" s="120"/>
      <c r="E245" s="120"/>
      <c r="F245" s="120">
        <v>250</v>
      </c>
      <c r="G245" s="120">
        <v>250</v>
      </c>
      <c r="H245" s="120">
        <v>0</v>
      </c>
      <c r="I245" s="120">
        <v>0</v>
      </c>
      <c r="J245" s="90" t="s">
        <v>44</v>
      </c>
      <c r="K245" s="503">
        <v>67.58</v>
      </c>
      <c r="L245" s="120">
        <v>0</v>
      </c>
      <c r="M245" s="90" t="s">
        <v>44</v>
      </c>
      <c r="N245" s="242"/>
      <c r="O245" s="19"/>
    </row>
    <row r="246" spans="1:15" ht="15.75" customHeight="1">
      <c r="A246" s="2"/>
      <c r="B246" s="239"/>
      <c r="C246" s="54" t="s">
        <v>197</v>
      </c>
      <c r="D246" s="240">
        <f t="shared" ref="D246" si="4">SUM(D218:D245)</f>
        <v>130721.511</v>
      </c>
      <c r="E246" s="240">
        <f t="shared" ref="E246:K246" si="5">SUM(E218:E245)</f>
        <v>130721.511</v>
      </c>
      <c r="F246" s="240">
        <f t="shared" si="5"/>
        <v>131231.10999999999</v>
      </c>
      <c r="G246" s="41">
        <f t="shared" si="5"/>
        <v>131731.10999999999</v>
      </c>
      <c r="H246" s="41">
        <f t="shared" si="5"/>
        <v>116622.28</v>
      </c>
      <c r="I246" s="41">
        <f t="shared" si="5"/>
        <v>116422.28</v>
      </c>
      <c r="J246" s="41">
        <f t="shared" si="5"/>
        <v>87438.400000000009</v>
      </c>
      <c r="K246" s="512">
        <f t="shared" si="5"/>
        <v>120581.43000000001</v>
      </c>
      <c r="L246" s="41">
        <v>115272.4</v>
      </c>
      <c r="M246" s="41">
        <f>SUM(M218:M245)</f>
        <v>75391.12</v>
      </c>
      <c r="N246" s="22"/>
      <c r="O246" s="19"/>
    </row>
    <row r="247" spans="1:15" ht="15.75" customHeight="1">
      <c r="A247" s="2"/>
      <c r="B247" s="236"/>
      <c r="C247" s="236"/>
      <c r="D247" s="236"/>
      <c r="E247" s="236"/>
      <c r="F247" s="236"/>
      <c r="G247" s="11"/>
      <c r="H247" s="11"/>
      <c r="I247" s="11"/>
      <c r="J247" s="11"/>
      <c r="K247" s="535"/>
      <c r="L247" s="70"/>
      <c r="M247" s="11"/>
      <c r="N247" s="22"/>
      <c r="O247" s="19"/>
    </row>
    <row r="248" spans="1:15" ht="15.75" customHeight="1">
      <c r="A248" s="2"/>
      <c r="B248" s="7"/>
      <c r="C248" s="252" t="s">
        <v>520</v>
      </c>
      <c r="D248" s="294">
        <f t="shared" ref="D248" si="6">D19</f>
        <v>22700</v>
      </c>
      <c r="E248" s="294">
        <f t="shared" ref="E248:K248" si="7">E19</f>
        <v>22700</v>
      </c>
      <c r="F248" s="294">
        <f t="shared" si="7"/>
        <v>27450</v>
      </c>
      <c r="G248" s="21">
        <f t="shared" si="7"/>
        <v>27450</v>
      </c>
      <c r="H248" s="21">
        <f t="shared" si="7"/>
        <v>27450</v>
      </c>
      <c r="I248" s="21">
        <f t="shared" si="7"/>
        <v>27450</v>
      </c>
      <c r="J248" s="21">
        <f t="shared" si="7"/>
        <v>24960</v>
      </c>
      <c r="K248" s="527">
        <f t="shared" si="7"/>
        <v>21913.46</v>
      </c>
      <c r="L248" s="21">
        <v>38836.370000000003</v>
      </c>
      <c r="M248" s="134"/>
      <c r="N248" s="22"/>
      <c r="O248" s="19"/>
    </row>
    <row r="249" spans="1:15" ht="15.75" customHeight="1">
      <c r="A249" s="2"/>
      <c r="B249" s="7"/>
      <c r="C249" s="252" t="s">
        <v>521</v>
      </c>
      <c r="D249" s="294">
        <f t="shared" ref="D249" si="8">D61</f>
        <v>100519.32000000002</v>
      </c>
      <c r="E249" s="294">
        <f t="shared" ref="E249:K249" si="9">E61</f>
        <v>100519.32000000002</v>
      </c>
      <c r="F249" s="294">
        <f t="shared" si="9"/>
        <v>93301.027000000002</v>
      </c>
      <c r="G249" s="21">
        <f t="shared" si="9"/>
        <v>98651.027000000002</v>
      </c>
      <c r="H249" s="21">
        <f t="shared" si="9"/>
        <v>98363.749999999971</v>
      </c>
      <c r="I249" s="21">
        <f t="shared" si="9"/>
        <v>98363.749999999971</v>
      </c>
      <c r="J249" s="21">
        <f t="shared" si="9"/>
        <v>83353.899999999994</v>
      </c>
      <c r="K249" s="527">
        <f t="shared" si="9"/>
        <v>83314.16</v>
      </c>
      <c r="L249" s="21">
        <v>95742.13</v>
      </c>
      <c r="M249" s="134"/>
      <c r="N249" s="22"/>
      <c r="O249" s="19"/>
    </row>
    <row r="250" spans="1:15" ht="15.75" customHeight="1">
      <c r="A250" s="2"/>
      <c r="B250" s="7"/>
      <c r="C250" s="252" t="s">
        <v>522</v>
      </c>
      <c r="D250" s="294">
        <f t="shared" ref="D250" si="10">D93</f>
        <v>131907.182</v>
      </c>
      <c r="E250" s="294">
        <f t="shared" ref="E250:K250" si="11">E93</f>
        <v>131907.182</v>
      </c>
      <c r="F250" s="294">
        <f t="shared" si="11"/>
        <v>136973.30600000001</v>
      </c>
      <c r="G250" s="21">
        <f t="shared" si="11"/>
        <v>137973.30600000001</v>
      </c>
      <c r="H250" s="21">
        <f t="shared" si="11"/>
        <v>128656.49</v>
      </c>
      <c r="I250" s="21">
        <f t="shared" si="11"/>
        <v>123956.49</v>
      </c>
      <c r="J250" s="21">
        <f t="shared" si="11"/>
        <v>111733.23000000001</v>
      </c>
      <c r="K250" s="527">
        <f t="shared" si="11"/>
        <v>116777.71</v>
      </c>
      <c r="L250" s="21">
        <v>110306.25</v>
      </c>
      <c r="M250" s="134"/>
      <c r="N250" s="22"/>
      <c r="O250" s="19"/>
    </row>
    <row r="251" spans="1:15" ht="15.75" customHeight="1">
      <c r="A251" s="2"/>
      <c r="B251" s="7"/>
      <c r="C251" s="252" t="s">
        <v>523</v>
      </c>
      <c r="D251" s="294">
        <f t="shared" ref="D251" si="12">D163</f>
        <v>225789.06000000003</v>
      </c>
      <c r="E251" s="294">
        <f t="shared" ref="E251:K251" si="13">E163</f>
        <v>225789.06000000003</v>
      </c>
      <c r="F251" s="294">
        <f t="shared" si="13"/>
        <v>211865.38899999997</v>
      </c>
      <c r="G251" s="21">
        <f t="shared" si="13"/>
        <v>211865.38899999997</v>
      </c>
      <c r="H251" s="21">
        <f t="shared" si="13"/>
        <v>181806.55000000002</v>
      </c>
      <c r="I251" s="21">
        <f t="shared" si="13"/>
        <v>181806.55000000002</v>
      </c>
      <c r="J251" s="21">
        <f t="shared" si="13"/>
        <v>196235.77</v>
      </c>
      <c r="K251" s="527">
        <f t="shared" si="13"/>
        <v>211066.42</v>
      </c>
      <c r="L251" s="21">
        <v>144019.70000000001</v>
      </c>
      <c r="M251" s="134"/>
      <c r="N251" s="22"/>
      <c r="O251" s="19"/>
    </row>
    <row r="252" spans="1:15" ht="15.75" customHeight="1">
      <c r="A252" s="2"/>
      <c r="B252" s="7"/>
      <c r="C252" s="252" t="s">
        <v>524</v>
      </c>
      <c r="D252" s="294">
        <f t="shared" ref="D252" si="14">D216</f>
        <v>112852.23000000001</v>
      </c>
      <c r="E252" s="294">
        <f t="shared" ref="E252:K252" si="15">E216</f>
        <v>112852.23000000001</v>
      </c>
      <c r="F252" s="294">
        <f t="shared" si="15"/>
        <v>86408.927999999985</v>
      </c>
      <c r="G252" s="21">
        <f t="shared" si="15"/>
        <v>86408.927999999985</v>
      </c>
      <c r="H252" s="21">
        <f t="shared" si="15"/>
        <v>86684.87000000001</v>
      </c>
      <c r="I252" s="21">
        <f t="shared" si="15"/>
        <v>99798.87000000001</v>
      </c>
      <c r="J252" s="21">
        <f t="shared" si="15"/>
        <v>90840.01</v>
      </c>
      <c r="K252" s="527">
        <f t="shared" si="15"/>
        <v>92579.64</v>
      </c>
      <c r="L252" s="21">
        <v>88093.2</v>
      </c>
      <c r="M252" s="134"/>
      <c r="N252" s="22"/>
      <c r="O252" s="19"/>
    </row>
    <row r="253" spans="1:15" ht="15.75" customHeight="1">
      <c r="A253" s="2"/>
      <c r="B253" s="287"/>
      <c r="C253" s="295" t="s">
        <v>525</v>
      </c>
      <c r="D253" s="296">
        <f t="shared" ref="D253" si="16">D246</f>
        <v>130721.511</v>
      </c>
      <c r="E253" s="296">
        <f t="shared" ref="E253:K253" si="17">E246</f>
        <v>130721.511</v>
      </c>
      <c r="F253" s="296">
        <f t="shared" si="17"/>
        <v>131231.10999999999</v>
      </c>
      <c r="G253" s="30">
        <f t="shared" si="17"/>
        <v>131731.10999999999</v>
      </c>
      <c r="H253" s="30">
        <f t="shared" si="17"/>
        <v>116622.28</v>
      </c>
      <c r="I253" s="30">
        <f t="shared" si="17"/>
        <v>116422.28</v>
      </c>
      <c r="J253" s="30">
        <f t="shared" si="17"/>
        <v>87438.400000000009</v>
      </c>
      <c r="K253" s="536">
        <f t="shared" si="17"/>
        <v>120581.43000000001</v>
      </c>
      <c r="L253" s="30">
        <v>115272.4</v>
      </c>
      <c r="M253" s="265"/>
      <c r="N253" s="22"/>
      <c r="O253" s="19"/>
    </row>
    <row r="254" spans="1:15" ht="24" customHeight="1">
      <c r="A254" s="2"/>
      <c r="B254" s="239"/>
      <c r="C254" s="54" t="s">
        <v>526</v>
      </c>
      <c r="D254" s="240">
        <f t="shared" ref="D254" si="18">SUM(D248:D253)</f>
        <v>724489.30300000007</v>
      </c>
      <c r="E254" s="240">
        <f t="shared" ref="E254:K254" si="19">SUM(E248:E253)</f>
        <v>724489.30300000007</v>
      </c>
      <c r="F254" s="240">
        <f t="shared" si="19"/>
        <v>687229.75999999989</v>
      </c>
      <c r="G254" s="41">
        <f t="shared" si="19"/>
        <v>694079.75999999989</v>
      </c>
      <c r="H254" s="41">
        <f t="shared" si="19"/>
        <v>639583.94000000006</v>
      </c>
      <c r="I254" s="41">
        <f t="shared" si="19"/>
        <v>647797.94000000006</v>
      </c>
      <c r="J254" s="41">
        <f t="shared" si="19"/>
        <v>594561.31000000006</v>
      </c>
      <c r="K254" s="512">
        <f t="shared" si="19"/>
        <v>646232.82000000007</v>
      </c>
      <c r="L254" s="41">
        <v>592270.04999999993</v>
      </c>
      <c r="M254" s="41">
        <f>M246+M216+M163+M93+M61+M19</f>
        <v>570688.98540000001</v>
      </c>
      <c r="N254" s="22"/>
      <c r="O254" s="19"/>
    </row>
    <row r="255" spans="1:15" ht="15.75" customHeight="1">
      <c r="A255" s="19"/>
      <c r="B255" s="3"/>
      <c r="C255" s="3"/>
      <c r="D255" s="435"/>
      <c r="E255" s="3"/>
      <c r="F255" s="3"/>
      <c r="G255" s="9"/>
      <c r="H255" s="3"/>
      <c r="I255" s="3"/>
      <c r="J255" s="3"/>
      <c r="K255" s="530"/>
      <c r="L255" s="3"/>
      <c r="M255" s="3"/>
      <c r="N255" s="19"/>
      <c r="O255" s="19"/>
    </row>
  </sheetData>
  <mergeCells count="1">
    <mergeCell ref="B1:N1"/>
  </mergeCells>
  <conditionalFormatting sqref="E165 E168:E175 E177:E182 E184 E186:E189 E192:E195 E197:E201 E204:E206 E212:E214">
    <cfRule type="cellIs" dxfId="3" priority="2" stopIfTrue="1" operator="lessThan">
      <formula>0</formula>
    </cfRule>
  </conditionalFormatting>
  <conditionalFormatting sqref="D165 D168:D175 D177:D182 D184 D186:D189 D192:D195 D197:D201 D204:D206 D212:D214">
    <cfRule type="cellIs" dxfId="2" priority="1" stopIfTrue="1" operator="lessThan">
      <formula>0</formula>
    </cfRule>
  </conditionalFormatting>
  <pageMargins left="0.7" right="0.7" top="0.75" bottom="0.75" header="0" footer="0"/>
  <pageSetup orientation="landscape"/>
  <headerFooter>
    <oddFooter>&amp;C&amp;"Helvetica Neue,Regular"&amp;12&amp;K000000&amp;P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93"/>
  <sheetViews>
    <sheetView showGridLines="0" topLeftCell="B1" workbookViewId="0">
      <selection activeCell="J1" sqref="J1:J1048576"/>
    </sheetView>
  </sheetViews>
  <sheetFormatPr defaultColWidth="14.42578125" defaultRowHeight="15" customHeight="1"/>
  <cols>
    <col min="1" max="1" width="14.42578125" style="297" hidden="1" customWidth="1"/>
    <col min="2" max="2" width="31.42578125" style="297" customWidth="1"/>
    <col min="3" max="3" width="17.7109375" style="297" customWidth="1"/>
    <col min="4" max="4" width="17.7109375" style="433" customWidth="1"/>
    <col min="5" max="5" width="28.85546875" style="297" customWidth="1"/>
    <col min="6" max="6" width="12.7109375" style="297" customWidth="1"/>
    <col min="7" max="7" width="16.28515625" style="297" customWidth="1"/>
    <col min="8" max="9" width="14.42578125" style="297" customWidth="1"/>
    <col min="10" max="10" width="15.28515625" style="514" customWidth="1"/>
    <col min="11" max="11" width="20.42578125" style="297" customWidth="1"/>
    <col min="12" max="12" width="17.7109375" style="297" customWidth="1"/>
    <col min="13" max="257" width="14.42578125" style="297" customWidth="1"/>
  </cols>
  <sheetData>
    <row r="1" spans="1:14" ht="15.75" customHeight="1">
      <c r="A1" s="2"/>
      <c r="B1" s="227" t="s">
        <v>527</v>
      </c>
      <c r="C1" s="228"/>
      <c r="D1" s="438"/>
      <c r="E1" s="228"/>
      <c r="F1" s="228"/>
      <c r="G1" s="228"/>
      <c r="H1" s="228"/>
      <c r="I1" s="228"/>
      <c r="J1" s="497"/>
      <c r="K1" s="228"/>
      <c r="L1" s="228"/>
      <c r="M1" s="161"/>
      <c r="N1" s="19"/>
    </row>
    <row r="2" spans="1:14" ht="15.75" customHeight="1">
      <c r="A2" s="2"/>
      <c r="B2" s="233" t="s">
        <v>156</v>
      </c>
      <c r="C2" s="233" t="s">
        <v>157</v>
      </c>
      <c r="D2" s="233" t="s">
        <v>1170</v>
      </c>
      <c r="E2" s="231" t="s">
        <v>8</v>
      </c>
      <c r="F2" s="232" t="s">
        <v>158</v>
      </c>
      <c r="G2" s="233" t="s">
        <v>159</v>
      </c>
      <c r="H2" s="298" t="s">
        <v>161</v>
      </c>
      <c r="I2" s="162" t="s">
        <v>162</v>
      </c>
      <c r="J2" s="498" t="s">
        <v>163</v>
      </c>
      <c r="K2" s="298" t="s">
        <v>164</v>
      </c>
      <c r="L2" s="162" t="s">
        <v>165</v>
      </c>
      <c r="M2" s="22"/>
      <c r="N2" s="19"/>
    </row>
    <row r="3" spans="1:14" ht="15.75" customHeight="1">
      <c r="A3" s="2"/>
      <c r="B3" s="299" t="s">
        <v>528</v>
      </c>
      <c r="C3" s="300"/>
      <c r="D3" s="301"/>
      <c r="E3" s="301"/>
      <c r="F3" s="301"/>
      <c r="G3" s="302"/>
      <c r="H3" s="11"/>
      <c r="I3" s="11"/>
      <c r="J3" s="499"/>
      <c r="K3" s="11"/>
      <c r="L3" s="11"/>
      <c r="M3" s="22"/>
      <c r="N3" s="19"/>
    </row>
    <row r="4" spans="1:14" ht="15.75" customHeight="1">
      <c r="A4" s="303"/>
      <c r="B4" s="84" t="s">
        <v>360</v>
      </c>
      <c r="C4" s="84" t="s">
        <v>529</v>
      </c>
      <c r="D4" s="250">
        <v>4158.5</v>
      </c>
      <c r="E4" s="250">
        <v>4158.5</v>
      </c>
      <c r="F4" s="250">
        <v>0</v>
      </c>
      <c r="G4" s="250">
        <v>10508.68</v>
      </c>
      <c r="H4" s="76"/>
      <c r="I4" s="76"/>
      <c r="J4" s="500">
        <v>11925.93</v>
      </c>
      <c r="K4" s="76">
        <v>10508.68</v>
      </c>
      <c r="L4" s="76"/>
      <c r="M4" s="22"/>
      <c r="N4" s="19"/>
    </row>
    <row r="5" spans="1:14" ht="15.75" customHeight="1">
      <c r="A5" s="2"/>
      <c r="B5" s="84" t="s">
        <v>530</v>
      </c>
      <c r="C5" s="304"/>
      <c r="D5" s="251"/>
      <c r="E5" s="251"/>
      <c r="F5" s="251"/>
      <c r="G5" s="251"/>
      <c r="H5" s="76"/>
      <c r="I5" s="76"/>
      <c r="J5" s="501"/>
      <c r="K5" s="76"/>
      <c r="L5" s="76"/>
      <c r="M5" s="22"/>
      <c r="N5" s="19"/>
    </row>
    <row r="6" spans="1:14" ht="15.75" customHeight="1">
      <c r="A6" s="2"/>
      <c r="B6" s="84" t="s">
        <v>239</v>
      </c>
      <c r="C6" s="84" t="s">
        <v>531</v>
      </c>
      <c r="D6" s="76">
        <v>8000</v>
      </c>
      <c r="E6" s="76">
        <v>8000</v>
      </c>
      <c r="F6" s="76">
        <v>8000</v>
      </c>
      <c r="G6" s="76">
        <v>8000</v>
      </c>
      <c r="H6" s="76">
        <v>10000</v>
      </c>
      <c r="I6" s="76">
        <v>15000</v>
      </c>
      <c r="J6" s="502">
        <v>10682.58</v>
      </c>
      <c r="K6" s="76">
        <v>7443.86</v>
      </c>
      <c r="L6" s="76">
        <v>16134.33</v>
      </c>
      <c r="M6" s="22"/>
      <c r="N6" s="19"/>
    </row>
    <row r="7" spans="1:14" ht="15.75" customHeight="1">
      <c r="A7" s="2"/>
      <c r="B7" s="84" t="s">
        <v>206</v>
      </c>
      <c r="C7" s="84" t="s">
        <v>532</v>
      </c>
      <c r="D7" s="76">
        <v>20</v>
      </c>
      <c r="E7" s="76">
        <v>20</v>
      </c>
      <c r="F7" s="76">
        <v>20</v>
      </c>
      <c r="G7" s="76">
        <v>20</v>
      </c>
      <c r="H7" s="76">
        <v>0</v>
      </c>
      <c r="I7" s="76">
        <v>0</v>
      </c>
      <c r="J7" s="502">
        <v>105.26</v>
      </c>
      <c r="K7" s="76">
        <v>32.47</v>
      </c>
      <c r="L7" s="76">
        <v>16.8</v>
      </c>
      <c r="M7" s="22"/>
      <c r="N7" s="19"/>
    </row>
    <row r="8" spans="1:14" ht="15.75" customHeight="1">
      <c r="A8" s="2"/>
      <c r="B8" s="84" t="s">
        <v>208</v>
      </c>
      <c r="C8" s="84" t="s">
        <v>533</v>
      </c>
      <c r="D8" s="76">
        <v>25</v>
      </c>
      <c r="E8" s="76">
        <v>25</v>
      </c>
      <c r="F8" s="76">
        <v>25</v>
      </c>
      <c r="G8" s="76">
        <v>25</v>
      </c>
      <c r="H8" s="76">
        <v>0</v>
      </c>
      <c r="I8" s="76">
        <v>25</v>
      </c>
      <c r="J8" s="502"/>
      <c r="K8" s="76">
        <v>13</v>
      </c>
      <c r="L8" s="76">
        <v>13</v>
      </c>
      <c r="M8" s="22"/>
      <c r="N8" s="19"/>
    </row>
    <row r="9" spans="1:14" ht="15.75" customHeight="1">
      <c r="A9" s="2"/>
      <c r="B9" s="84" t="s">
        <v>422</v>
      </c>
      <c r="C9" s="84" t="s">
        <v>534</v>
      </c>
      <c r="D9" s="76">
        <v>500</v>
      </c>
      <c r="E9" s="76">
        <v>500</v>
      </c>
      <c r="F9" s="76">
        <v>500</v>
      </c>
      <c r="G9" s="76">
        <v>500</v>
      </c>
      <c r="H9" s="76">
        <v>1000</v>
      </c>
      <c r="I9" s="76">
        <v>750</v>
      </c>
      <c r="J9" s="502">
        <v>69.760000000000005</v>
      </c>
      <c r="K9" s="76">
        <v>76.209999999999994</v>
      </c>
      <c r="L9" s="76">
        <v>1021.14</v>
      </c>
      <c r="M9" s="22"/>
      <c r="N9" s="19"/>
    </row>
    <row r="10" spans="1:14" ht="15.75" customHeight="1">
      <c r="A10" s="2"/>
      <c r="B10" s="84" t="s">
        <v>169</v>
      </c>
      <c r="C10" s="84" t="s">
        <v>535</v>
      </c>
      <c r="D10" s="76">
        <v>20</v>
      </c>
      <c r="E10" s="76">
        <v>20</v>
      </c>
      <c r="F10" s="76">
        <v>20</v>
      </c>
      <c r="G10" s="76">
        <v>20</v>
      </c>
      <c r="H10" s="76">
        <v>20</v>
      </c>
      <c r="I10" s="76">
        <v>100</v>
      </c>
      <c r="J10" s="502"/>
      <c r="K10" s="76">
        <v>0.3</v>
      </c>
      <c r="L10" s="76">
        <v>1.1399999999999999</v>
      </c>
      <c r="M10" s="22"/>
      <c r="N10" s="19"/>
    </row>
    <row r="11" spans="1:14" ht="15.75" customHeight="1">
      <c r="A11" s="45"/>
      <c r="B11" s="84" t="s">
        <v>536</v>
      </c>
      <c r="C11" s="84" t="s">
        <v>537</v>
      </c>
      <c r="D11" s="76">
        <v>0</v>
      </c>
      <c r="E11" s="76">
        <v>0</v>
      </c>
      <c r="F11" s="76">
        <v>0</v>
      </c>
      <c r="G11" s="76">
        <v>0</v>
      </c>
      <c r="H11" s="76">
        <v>3185</v>
      </c>
      <c r="I11" s="76">
        <v>3185</v>
      </c>
      <c r="J11" s="502"/>
      <c r="K11" s="76"/>
      <c r="L11" s="259">
        <v>0</v>
      </c>
      <c r="M11" s="22"/>
      <c r="N11" s="19"/>
    </row>
    <row r="12" spans="1:14" ht="15.75" customHeight="1">
      <c r="A12" s="122" t="s">
        <v>538</v>
      </c>
      <c r="B12" s="84" t="s">
        <v>539</v>
      </c>
      <c r="C12" s="84" t="s">
        <v>540</v>
      </c>
      <c r="D12" s="76">
        <v>22000</v>
      </c>
      <c r="E12" s="76">
        <v>22000</v>
      </c>
      <c r="F12" s="76">
        <v>22000</v>
      </c>
      <c r="G12" s="76">
        <v>27000</v>
      </c>
      <c r="H12" s="76">
        <v>25000</v>
      </c>
      <c r="I12" s="76">
        <v>25000</v>
      </c>
      <c r="J12" s="502">
        <v>20482.09</v>
      </c>
      <c r="K12" s="76">
        <v>31465.71</v>
      </c>
      <c r="L12" s="76">
        <v>85946.13</v>
      </c>
      <c r="M12" s="22"/>
      <c r="N12" s="19"/>
    </row>
    <row r="13" spans="1:14" ht="15.75" customHeight="1">
      <c r="A13" s="123"/>
      <c r="B13" s="305" t="s">
        <v>541</v>
      </c>
      <c r="C13" s="84" t="s">
        <v>542</v>
      </c>
      <c r="D13" s="76">
        <v>2000</v>
      </c>
      <c r="E13" s="76">
        <v>2000</v>
      </c>
      <c r="F13" s="76">
        <v>1000</v>
      </c>
      <c r="G13" s="76">
        <v>1000</v>
      </c>
      <c r="H13" s="76">
        <v>1500</v>
      </c>
      <c r="I13" s="76">
        <v>1000</v>
      </c>
      <c r="J13" s="502">
        <v>1634.47</v>
      </c>
      <c r="K13" s="76">
        <v>498.36</v>
      </c>
      <c r="L13" s="76">
        <v>1357.45</v>
      </c>
      <c r="M13" s="22"/>
      <c r="N13" s="19"/>
    </row>
    <row r="14" spans="1:14" ht="15.75" customHeight="1">
      <c r="A14" s="2"/>
      <c r="B14" s="84" t="s">
        <v>241</v>
      </c>
      <c r="C14" s="84" t="s">
        <v>543</v>
      </c>
      <c r="D14" s="76"/>
      <c r="E14" s="76"/>
      <c r="F14" s="76">
        <v>1000</v>
      </c>
      <c r="G14" s="76">
        <v>1000</v>
      </c>
      <c r="H14" s="76">
        <v>1000</v>
      </c>
      <c r="I14" s="76">
        <v>500</v>
      </c>
      <c r="J14" s="502">
        <v>1376.63</v>
      </c>
      <c r="K14" s="76">
        <v>1267.58</v>
      </c>
      <c r="L14" s="76">
        <v>500</v>
      </c>
      <c r="M14" s="22"/>
      <c r="N14" s="19"/>
    </row>
    <row r="15" spans="1:14" ht="15.75" customHeight="1">
      <c r="A15" s="2"/>
      <c r="B15" s="84" t="s">
        <v>544</v>
      </c>
      <c r="C15" s="84" t="s">
        <v>545</v>
      </c>
      <c r="D15" s="76">
        <v>750</v>
      </c>
      <c r="E15" s="76">
        <v>750</v>
      </c>
      <c r="F15" s="76">
        <v>750</v>
      </c>
      <c r="G15" s="76">
        <v>750</v>
      </c>
      <c r="H15" s="76">
        <v>750</v>
      </c>
      <c r="I15" s="76">
        <v>750</v>
      </c>
      <c r="J15" s="502">
        <v>195</v>
      </c>
      <c r="K15" s="76"/>
      <c r="L15" s="76">
        <v>836.35</v>
      </c>
      <c r="M15" s="22"/>
      <c r="N15" s="19"/>
    </row>
    <row r="16" spans="1:14" ht="15.75" customHeight="1">
      <c r="A16" s="2"/>
      <c r="B16" s="84" t="s">
        <v>455</v>
      </c>
      <c r="C16" s="84" t="s">
        <v>546</v>
      </c>
      <c r="D16" s="76">
        <v>1000</v>
      </c>
      <c r="E16" s="76">
        <v>1000</v>
      </c>
      <c r="F16" s="76">
        <v>1000</v>
      </c>
      <c r="G16" s="76">
        <v>1000</v>
      </c>
      <c r="H16" s="76">
        <v>1500</v>
      </c>
      <c r="I16" s="76">
        <v>1500</v>
      </c>
      <c r="J16" s="502">
        <v>440.99</v>
      </c>
      <c r="K16" s="76"/>
      <c r="L16" s="76">
        <v>165.3</v>
      </c>
      <c r="M16" s="22"/>
      <c r="N16" s="19"/>
    </row>
    <row r="17" spans="1:14" ht="15.75" customHeight="1">
      <c r="A17" s="2"/>
      <c r="B17" s="84" t="s">
        <v>547</v>
      </c>
      <c r="C17" s="84" t="s">
        <v>548</v>
      </c>
      <c r="D17" s="76">
        <v>250</v>
      </c>
      <c r="E17" s="76">
        <v>250</v>
      </c>
      <c r="F17" s="76">
        <v>250</v>
      </c>
      <c r="G17" s="76">
        <v>250</v>
      </c>
      <c r="H17" s="76">
        <v>250</v>
      </c>
      <c r="I17" s="76">
        <v>250</v>
      </c>
      <c r="J17" s="502"/>
      <c r="K17" s="76"/>
      <c r="L17" s="134"/>
      <c r="M17" s="22"/>
      <c r="N17" s="19"/>
    </row>
    <row r="18" spans="1:14" ht="15.75" customHeight="1">
      <c r="A18" s="2"/>
      <c r="B18" s="84" t="s">
        <v>177</v>
      </c>
      <c r="C18" s="84" t="s">
        <v>549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502">
        <v>1193.95</v>
      </c>
      <c r="K18" s="76"/>
      <c r="L18" s="76">
        <v>111.15</v>
      </c>
      <c r="M18" s="22"/>
      <c r="N18" s="19"/>
    </row>
    <row r="19" spans="1:14" ht="15.75" customHeight="1">
      <c r="A19" s="2"/>
      <c r="B19" s="306" t="s">
        <v>550</v>
      </c>
      <c r="C19" s="2"/>
      <c r="D19" s="134"/>
      <c r="E19" s="134"/>
      <c r="F19" s="134"/>
      <c r="G19" s="134"/>
      <c r="H19" s="134"/>
      <c r="I19" s="134"/>
      <c r="J19" s="502"/>
      <c r="K19" s="134"/>
      <c r="L19" s="134"/>
      <c r="M19" s="22"/>
      <c r="N19" s="19"/>
    </row>
    <row r="20" spans="1:14" ht="15.75" customHeight="1">
      <c r="A20" s="2"/>
      <c r="B20" s="84" t="s">
        <v>551</v>
      </c>
      <c r="C20" s="84" t="s">
        <v>552</v>
      </c>
      <c r="D20" s="76">
        <v>2000</v>
      </c>
      <c r="E20" s="76">
        <v>2000</v>
      </c>
      <c r="F20" s="76">
        <v>2000</v>
      </c>
      <c r="G20" s="76">
        <v>2000</v>
      </c>
      <c r="H20" s="76">
        <v>1500</v>
      </c>
      <c r="I20" s="76">
        <v>1000</v>
      </c>
      <c r="J20" s="502">
        <v>3353.49</v>
      </c>
      <c r="K20" s="76">
        <v>1917.34</v>
      </c>
      <c r="L20" s="76">
        <v>2317.9</v>
      </c>
      <c r="M20" s="22"/>
      <c r="N20" s="19"/>
    </row>
    <row r="21" spans="1:14" ht="15.75" customHeight="1">
      <c r="A21" s="2"/>
      <c r="B21" s="84" t="s">
        <v>553</v>
      </c>
      <c r="C21" s="84" t="s">
        <v>554</v>
      </c>
      <c r="D21" s="76">
        <v>0</v>
      </c>
      <c r="E21" s="76">
        <v>0</v>
      </c>
      <c r="F21" s="76">
        <v>0</v>
      </c>
      <c r="G21" s="76">
        <v>0</v>
      </c>
      <c r="H21" s="84" t="s">
        <v>44</v>
      </c>
      <c r="I21" s="84" t="s">
        <v>44</v>
      </c>
      <c r="J21" s="502"/>
      <c r="K21" s="76"/>
      <c r="L21" s="84" t="s">
        <v>44</v>
      </c>
      <c r="M21" s="307"/>
      <c r="N21" s="22"/>
    </row>
    <row r="22" spans="1:14" ht="15.75" customHeight="1">
      <c r="A22" s="2"/>
      <c r="B22" s="84" t="s">
        <v>555</v>
      </c>
      <c r="C22" s="84" t="s">
        <v>556</v>
      </c>
      <c r="D22" s="76">
        <v>750</v>
      </c>
      <c r="E22" s="76">
        <v>750</v>
      </c>
      <c r="F22" s="76">
        <v>500</v>
      </c>
      <c r="G22" s="76">
        <v>500</v>
      </c>
      <c r="H22" s="76">
        <v>500</v>
      </c>
      <c r="I22" s="76">
        <v>50</v>
      </c>
      <c r="J22" s="502"/>
      <c r="K22" s="76">
        <v>50</v>
      </c>
      <c r="L22" s="76">
        <v>74.19</v>
      </c>
      <c r="M22" s="22"/>
      <c r="N22" s="19"/>
    </row>
    <row r="23" spans="1:14" ht="15.75" customHeight="1">
      <c r="A23" s="2"/>
      <c r="B23" s="308" t="s">
        <v>557</v>
      </c>
      <c r="C23" s="309"/>
      <c r="D23" s="134"/>
      <c r="E23" s="134"/>
      <c r="F23" s="134"/>
      <c r="G23" s="134"/>
      <c r="H23" s="134"/>
      <c r="I23" s="134"/>
      <c r="J23" s="502"/>
      <c r="K23" s="134"/>
      <c r="L23" s="134"/>
      <c r="M23" s="22"/>
      <c r="N23" s="19"/>
    </row>
    <row r="24" spans="1:14" ht="15.75" customHeight="1">
      <c r="A24" s="2"/>
      <c r="B24" s="84" t="s">
        <v>360</v>
      </c>
      <c r="C24" s="84" t="s">
        <v>558</v>
      </c>
      <c r="D24" s="76">
        <v>1412.7</v>
      </c>
      <c r="E24" s="76">
        <v>1412.7</v>
      </c>
      <c r="F24" s="76">
        <f t="shared" ref="F24:G36" si="0">(5*12.65)*13</f>
        <v>822.25</v>
      </c>
      <c r="G24" s="76">
        <f t="shared" si="0"/>
        <v>822.25</v>
      </c>
      <c r="H24" s="76">
        <v>1792.44</v>
      </c>
      <c r="I24" s="76">
        <v>1400</v>
      </c>
      <c r="J24" s="502"/>
      <c r="K24" s="76"/>
      <c r="L24" s="76">
        <v>1241.3399999999999</v>
      </c>
      <c r="M24" s="22"/>
      <c r="N24" s="19"/>
    </row>
    <row r="25" spans="1:14" ht="15.75" customHeight="1">
      <c r="A25" s="2"/>
      <c r="B25" s="308" t="s">
        <v>559</v>
      </c>
      <c r="C25" s="309"/>
      <c r="D25" s="134"/>
      <c r="E25" s="134"/>
      <c r="F25" s="134"/>
      <c r="G25" s="134"/>
      <c r="H25" s="134"/>
      <c r="I25" s="238"/>
      <c r="J25" s="502"/>
      <c r="K25" s="134"/>
      <c r="L25" s="134"/>
      <c r="M25" s="22"/>
      <c r="N25" s="19"/>
    </row>
    <row r="26" spans="1:14" ht="15.75" customHeight="1">
      <c r="A26" s="2"/>
      <c r="B26" s="84" t="s">
        <v>360</v>
      </c>
      <c r="C26" s="84" t="s">
        <v>560</v>
      </c>
      <c r="D26" s="76">
        <v>2229.3000000000002</v>
      </c>
      <c r="E26" s="76">
        <v>2229.3000000000002</v>
      </c>
      <c r="F26" s="76">
        <f t="shared" si="0"/>
        <v>822.25</v>
      </c>
      <c r="G26" s="76">
        <f t="shared" si="0"/>
        <v>822.25</v>
      </c>
      <c r="H26" s="76">
        <v>1792.44</v>
      </c>
      <c r="I26" s="76">
        <v>1400</v>
      </c>
      <c r="J26" s="502"/>
      <c r="K26" s="76"/>
      <c r="L26" s="76">
        <v>1305.8399999999999</v>
      </c>
      <c r="M26" s="22"/>
      <c r="N26" s="19"/>
    </row>
    <row r="27" spans="1:14" ht="15.75" customHeight="1">
      <c r="A27" s="2"/>
      <c r="B27" s="308" t="s">
        <v>561</v>
      </c>
      <c r="C27" s="309"/>
      <c r="D27" s="134"/>
      <c r="E27" s="134"/>
      <c r="F27" s="134"/>
      <c r="G27" s="134"/>
      <c r="H27" s="134"/>
      <c r="I27" s="238"/>
      <c r="J27" s="502"/>
      <c r="K27" s="134"/>
      <c r="L27" s="134"/>
      <c r="M27" s="22"/>
      <c r="N27" s="19"/>
    </row>
    <row r="28" spans="1:14" ht="15.75" customHeight="1">
      <c r="A28" s="2"/>
      <c r="B28" s="84" t="s">
        <v>360</v>
      </c>
      <c r="C28" s="84" t="s">
        <v>562</v>
      </c>
      <c r="D28" s="76">
        <v>2229.3000000000002</v>
      </c>
      <c r="E28" s="76">
        <v>2229.3000000000002</v>
      </c>
      <c r="F28" s="76">
        <f t="shared" si="0"/>
        <v>822.25</v>
      </c>
      <c r="G28" s="76">
        <f t="shared" si="0"/>
        <v>822.25</v>
      </c>
      <c r="H28" s="76">
        <v>1792.44</v>
      </c>
      <c r="I28" s="76">
        <v>1400</v>
      </c>
      <c r="J28" s="502"/>
      <c r="K28" s="76"/>
      <c r="L28" s="76">
        <v>1307.3399999999999</v>
      </c>
      <c r="M28" s="22"/>
      <c r="N28" s="19"/>
    </row>
    <row r="29" spans="1:14" ht="15.75" customHeight="1">
      <c r="A29" s="2"/>
      <c r="B29" s="84" t="s">
        <v>515</v>
      </c>
      <c r="C29" s="84" t="s">
        <v>563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84" t="s">
        <v>44</v>
      </c>
      <c r="J29" s="502"/>
      <c r="K29" s="76">
        <v>990.34</v>
      </c>
      <c r="L29" s="84" t="s">
        <v>44</v>
      </c>
      <c r="M29" s="22"/>
      <c r="N29" s="19"/>
    </row>
    <row r="30" spans="1:14" ht="15.75" customHeight="1">
      <c r="A30" s="2"/>
      <c r="B30" s="84" t="s">
        <v>564</v>
      </c>
      <c r="C30" s="84" t="s">
        <v>565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84" t="s">
        <v>44</v>
      </c>
      <c r="J30" s="502"/>
      <c r="K30" s="76"/>
      <c r="L30" s="84" t="s">
        <v>44</v>
      </c>
      <c r="M30" s="22"/>
      <c r="N30" s="19"/>
    </row>
    <row r="31" spans="1:14" ht="15.75" customHeight="1">
      <c r="A31" s="2"/>
      <c r="B31" s="84" t="s">
        <v>566</v>
      </c>
      <c r="C31" s="84" t="s">
        <v>567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84" t="s">
        <v>44</v>
      </c>
      <c r="J31" s="502"/>
      <c r="K31" s="76"/>
      <c r="L31" s="76">
        <v>-706</v>
      </c>
      <c r="M31" s="22"/>
      <c r="N31" s="19"/>
    </row>
    <row r="32" spans="1:14" ht="15.75" customHeight="1">
      <c r="A32" s="2"/>
      <c r="B32" s="84" t="s">
        <v>568</v>
      </c>
      <c r="C32" s="84" t="s">
        <v>569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84" t="s">
        <v>44</v>
      </c>
      <c r="J32" s="502"/>
      <c r="K32" s="76"/>
      <c r="L32" s="76">
        <v>420</v>
      </c>
      <c r="M32" s="22"/>
      <c r="N32" s="19"/>
    </row>
    <row r="33" spans="1:14" ht="15.75" customHeight="1">
      <c r="A33" s="2"/>
      <c r="B33" s="308" t="s">
        <v>570</v>
      </c>
      <c r="C33" s="309"/>
      <c r="D33" s="134"/>
      <c r="E33" s="134"/>
      <c r="F33" s="134"/>
      <c r="G33" s="134"/>
      <c r="H33" s="134"/>
      <c r="I33" s="134"/>
      <c r="J33" s="502"/>
      <c r="K33" s="134"/>
      <c r="L33" s="134"/>
      <c r="M33" s="22"/>
      <c r="N33" s="19"/>
    </row>
    <row r="34" spans="1:14" ht="15.75" customHeight="1">
      <c r="A34" s="2"/>
      <c r="B34" s="84" t="s">
        <v>360</v>
      </c>
      <c r="C34" s="84" t="s">
        <v>571</v>
      </c>
      <c r="D34" s="238">
        <v>2229.3000000000002</v>
      </c>
      <c r="E34" s="238">
        <v>2229.3000000000002</v>
      </c>
      <c r="F34" s="238">
        <v>0</v>
      </c>
      <c r="G34" s="238">
        <v>0</v>
      </c>
      <c r="H34" s="84" t="s">
        <v>44</v>
      </c>
      <c r="I34" s="134"/>
      <c r="J34" s="502"/>
      <c r="K34" s="238"/>
      <c r="L34" s="76">
        <v>1307.3399999999999</v>
      </c>
      <c r="M34" s="22"/>
      <c r="N34" s="19"/>
    </row>
    <row r="35" spans="1:14" ht="15.75" customHeight="1">
      <c r="A35" s="2"/>
      <c r="B35" s="308" t="s">
        <v>572</v>
      </c>
      <c r="C35" s="309"/>
      <c r="D35" s="134"/>
      <c r="E35" s="134"/>
      <c r="F35" s="134"/>
      <c r="G35" s="134"/>
      <c r="H35" s="134"/>
      <c r="I35" s="84" t="s">
        <v>44</v>
      </c>
      <c r="J35" s="502"/>
      <c r="K35" s="134"/>
      <c r="L35" s="134"/>
      <c r="M35" s="22"/>
      <c r="N35" s="19"/>
    </row>
    <row r="36" spans="1:14" ht="15.75" customHeight="1">
      <c r="A36" s="2"/>
      <c r="B36" s="84" t="s">
        <v>360</v>
      </c>
      <c r="C36" s="84" t="s">
        <v>573</v>
      </c>
      <c r="D36" s="76">
        <v>2229.3000000000002</v>
      </c>
      <c r="E36" s="76">
        <v>2229.3000000000002</v>
      </c>
      <c r="F36" s="76">
        <f t="shared" si="0"/>
        <v>822.25</v>
      </c>
      <c r="G36" s="76">
        <f t="shared" si="0"/>
        <v>822.25</v>
      </c>
      <c r="H36" s="76">
        <v>1792.44</v>
      </c>
      <c r="I36" s="76">
        <v>1400</v>
      </c>
      <c r="J36" s="502"/>
      <c r="K36" s="238"/>
      <c r="L36" s="76">
        <v>1275.0899999999999</v>
      </c>
      <c r="M36" s="22"/>
      <c r="N36" s="19"/>
    </row>
    <row r="37" spans="1:14" ht="15.75" customHeight="1">
      <c r="A37" s="2"/>
      <c r="B37" s="252" t="s">
        <v>574</v>
      </c>
      <c r="C37" s="254"/>
      <c r="D37" s="134"/>
      <c r="E37" s="134"/>
      <c r="F37" s="134"/>
      <c r="G37" s="134"/>
      <c r="H37" s="134"/>
      <c r="I37" s="84" t="s">
        <v>44</v>
      </c>
      <c r="J37" s="502"/>
      <c r="K37" s="134"/>
      <c r="L37" s="134"/>
      <c r="M37" s="22"/>
      <c r="N37" s="19"/>
    </row>
    <row r="38" spans="1:14" ht="15.75" customHeight="1">
      <c r="A38" s="2"/>
      <c r="B38" s="84" t="s">
        <v>574</v>
      </c>
      <c r="C38" s="84" t="s">
        <v>575</v>
      </c>
      <c r="D38" s="76">
        <v>2500</v>
      </c>
      <c r="E38" s="76">
        <v>2500</v>
      </c>
      <c r="F38" s="76">
        <v>2500</v>
      </c>
      <c r="G38" s="76">
        <v>2500</v>
      </c>
      <c r="H38" s="76">
        <v>4000</v>
      </c>
      <c r="I38" s="76">
        <v>2500</v>
      </c>
      <c r="J38" s="502">
        <v>3381.75</v>
      </c>
      <c r="K38" s="76">
        <v>895.54</v>
      </c>
      <c r="L38" s="134"/>
      <c r="M38" s="22"/>
      <c r="N38" s="19"/>
    </row>
    <row r="39" spans="1:14" ht="15.75" customHeight="1">
      <c r="A39" s="2"/>
      <c r="B39" s="84" t="s">
        <v>422</v>
      </c>
      <c r="C39" s="84" t="s">
        <v>576</v>
      </c>
      <c r="D39" s="76"/>
      <c r="E39" s="76"/>
      <c r="F39" s="76">
        <v>150</v>
      </c>
      <c r="G39" s="76">
        <v>150</v>
      </c>
      <c r="H39" s="76">
        <v>150</v>
      </c>
      <c r="I39" s="76">
        <v>150</v>
      </c>
      <c r="J39" s="502"/>
      <c r="K39" s="76"/>
      <c r="L39" s="134"/>
      <c r="M39" s="22"/>
      <c r="N39" s="19"/>
    </row>
    <row r="40" spans="1:14" ht="15.75" customHeight="1">
      <c r="A40" s="2"/>
      <c r="B40" s="84" t="s">
        <v>455</v>
      </c>
      <c r="C40" s="84" t="s">
        <v>577</v>
      </c>
      <c r="D40" s="76">
        <v>0</v>
      </c>
      <c r="E40" s="76">
        <v>0</v>
      </c>
      <c r="F40" s="76">
        <v>0</v>
      </c>
      <c r="G40" s="76">
        <v>0</v>
      </c>
      <c r="H40" s="76">
        <v>2000</v>
      </c>
      <c r="I40" s="76">
        <v>4000</v>
      </c>
      <c r="J40" s="502"/>
      <c r="K40" s="76"/>
      <c r="L40" s="134"/>
      <c r="M40" s="22"/>
      <c r="N40" s="19"/>
    </row>
    <row r="41" spans="1:14" ht="15.75" customHeight="1">
      <c r="A41" s="2"/>
      <c r="B41" s="84" t="s">
        <v>578</v>
      </c>
      <c r="C41" s="84" t="s">
        <v>579</v>
      </c>
      <c r="D41" s="76">
        <v>2000</v>
      </c>
      <c r="E41" s="76">
        <v>2000</v>
      </c>
      <c r="F41" s="76">
        <v>2000</v>
      </c>
      <c r="G41" s="76">
        <v>2000</v>
      </c>
      <c r="H41" s="76">
        <v>2000</v>
      </c>
      <c r="I41" s="76">
        <v>4000</v>
      </c>
      <c r="J41" s="502">
        <v>2967.06</v>
      </c>
      <c r="K41" s="76"/>
      <c r="L41" s="134"/>
      <c r="M41" s="22"/>
      <c r="N41" s="19"/>
    </row>
    <row r="42" spans="1:14" ht="15.75" customHeight="1">
      <c r="A42" s="2"/>
      <c r="B42" s="84" t="s">
        <v>580</v>
      </c>
      <c r="C42" s="84" t="s">
        <v>581</v>
      </c>
      <c r="D42" s="76"/>
      <c r="E42" s="76"/>
      <c r="F42" s="76"/>
      <c r="G42" s="76"/>
      <c r="H42" s="76">
        <v>4000</v>
      </c>
      <c r="I42" s="76">
        <v>8000</v>
      </c>
      <c r="J42" s="502"/>
      <c r="K42" s="76"/>
      <c r="L42" s="134"/>
      <c r="M42" s="22"/>
      <c r="N42" s="19"/>
    </row>
    <row r="43" spans="1:14" ht="15.75" customHeight="1">
      <c r="A43" s="2"/>
      <c r="B43" s="84" t="s">
        <v>582</v>
      </c>
      <c r="C43" s="84" t="s">
        <v>583</v>
      </c>
      <c r="D43" s="76"/>
      <c r="E43" s="76"/>
      <c r="F43" s="76"/>
      <c r="G43" s="76"/>
      <c r="H43" s="76">
        <v>1000</v>
      </c>
      <c r="I43" s="76">
        <v>1000</v>
      </c>
      <c r="J43" s="502"/>
      <c r="K43" s="76"/>
      <c r="L43" s="134"/>
      <c r="M43" s="22"/>
      <c r="N43" s="19"/>
    </row>
    <row r="44" spans="1:14" ht="15.75" customHeight="1">
      <c r="A44" s="2"/>
      <c r="B44" s="90" t="s">
        <v>584</v>
      </c>
      <c r="C44" s="90" t="s">
        <v>585</v>
      </c>
      <c r="D44" s="120">
        <v>0</v>
      </c>
      <c r="E44" s="120">
        <v>0</v>
      </c>
      <c r="F44" s="120">
        <v>0</v>
      </c>
      <c r="G44" s="120">
        <v>0</v>
      </c>
      <c r="H44" s="120">
        <v>-5000</v>
      </c>
      <c r="I44" s="120">
        <v>-5000</v>
      </c>
      <c r="J44" s="503"/>
      <c r="K44" s="120"/>
      <c r="L44" s="90" t="s">
        <v>44</v>
      </c>
      <c r="M44" s="22"/>
      <c r="N44" s="19"/>
    </row>
    <row r="45" spans="1:14" ht="15.75" customHeight="1">
      <c r="A45" s="2"/>
      <c r="B45" s="239"/>
      <c r="C45" s="54" t="s">
        <v>197</v>
      </c>
      <c r="D45" s="240">
        <f>SUM(D4:D44)</f>
        <v>56303.400000000009</v>
      </c>
      <c r="E45" s="240">
        <f>SUM(E4:E44)</f>
        <v>56303.400000000009</v>
      </c>
      <c r="F45" s="240">
        <f>SUM(F4:F44)</f>
        <v>45004</v>
      </c>
      <c r="G45" s="41">
        <f t="shared" ref="G45:L45" si="1">SUM(G6:G44)</f>
        <v>50004</v>
      </c>
      <c r="H45" s="41">
        <f t="shared" si="1"/>
        <v>61524.760000000009</v>
      </c>
      <c r="I45" s="41">
        <f t="shared" si="1"/>
        <v>69360</v>
      </c>
      <c r="J45" s="504">
        <f t="shared" si="1"/>
        <v>45883.029999999992</v>
      </c>
      <c r="K45" s="41">
        <f t="shared" si="1"/>
        <v>44650.71</v>
      </c>
      <c r="L45" s="41">
        <f t="shared" si="1"/>
        <v>114645.82999999999</v>
      </c>
      <c r="M45" s="22"/>
      <c r="N45" s="19"/>
    </row>
    <row r="46" spans="1:14" ht="15.75" customHeight="1">
      <c r="A46" s="2"/>
      <c r="B46" s="171" t="s">
        <v>41</v>
      </c>
      <c r="C46" s="311"/>
      <c r="D46" s="311"/>
      <c r="E46" s="311"/>
      <c r="F46" s="311"/>
      <c r="G46" s="11"/>
      <c r="H46" s="11"/>
      <c r="I46" s="11"/>
      <c r="J46" s="505"/>
      <c r="K46" s="11"/>
      <c r="L46" s="11"/>
      <c r="M46" s="22"/>
      <c r="N46" s="19"/>
    </row>
    <row r="47" spans="1:14" ht="15.75" customHeight="1">
      <c r="A47" s="2"/>
      <c r="B47" s="84" t="s">
        <v>198</v>
      </c>
      <c r="C47" s="84" t="s">
        <v>586</v>
      </c>
      <c r="D47" s="134">
        <v>24506.2</v>
      </c>
      <c r="E47" s="134">
        <v>24506.2</v>
      </c>
      <c r="F47" s="134">
        <v>14800</v>
      </c>
      <c r="G47" s="134">
        <v>14800</v>
      </c>
      <c r="H47" s="76">
        <v>8949.6</v>
      </c>
      <c r="I47" s="76">
        <v>5850</v>
      </c>
      <c r="J47" s="505">
        <v>9590.4</v>
      </c>
      <c r="K47" s="76">
        <v>5295.36</v>
      </c>
      <c r="L47" s="76">
        <v>11546.85</v>
      </c>
      <c r="M47" s="22"/>
      <c r="N47" s="19"/>
    </row>
    <row r="48" spans="1:14" ht="15.75" customHeight="1">
      <c r="A48" s="2"/>
      <c r="B48" s="84" t="s">
        <v>200</v>
      </c>
      <c r="C48" s="84" t="s">
        <v>587</v>
      </c>
      <c r="D48" s="76">
        <f>D47*0.08</f>
        <v>1960.4960000000001</v>
      </c>
      <c r="E48" s="76">
        <f>E47*0.08</f>
        <v>1960.4960000000001</v>
      </c>
      <c r="F48" s="76">
        <f>F47*0.07</f>
        <v>1036</v>
      </c>
      <c r="G48" s="76">
        <f>G47*0.07</f>
        <v>1036</v>
      </c>
      <c r="H48" s="76">
        <v>592</v>
      </c>
      <c r="I48" s="76">
        <v>409.5</v>
      </c>
      <c r="J48" s="505">
        <v>643.34</v>
      </c>
      <c r="K48" s="76">
        <v>331.37</v>
      </c>
      <c r="L48" s="76">
        <v>755.08</v>
      </c>
      <c r="M48" s="22"/>
      <c r="N48" s="19"/>
    </row>
    <row r="49" spans="1:14" ht="15.75" customHeight="1">
      <c r="A49" s="2"/>
      <c r="B49" s="84" t="s">
        <v>204</v>
      </c>
      <c r="C49" s="84" t="s">
        <v>588</v>
      </c>
      <c r="D49" s="312">
        <v>600</v>
      </c>
      <c r="E49" s="312">
        <v>600</v>
      </c>
      <c r="F49" s="312">
        <v>600</v>
      </c>
      <c r="G49" s="312">
        <v>600</v>
      </c>
      <c r="H49" s="76">
        <v>600</v>
      </c>
      <c r="I49" s="76">
        <v>600</v>
      </c>
      <c r="J49" s="505">
        <v>601.70000000000005</v>
      </c>
      <c r="K49" s="76">
        <v>601.70000000000005</v>
      </c>
      <c r="L49" s="76">
        <v>1055.6500000000001</v>
      </c>
      <c r="M49" s="22"/>
      <c r="N49" s="19"/>
    </row>
    <row r="50" spans="1:14" ht="15.75" customHeight="1">
      <c r="A50" s="2"/>
      <c r="B50" s="84" t="s">
        <v>206</v>
      </c>
      <c r="C50" s="84" t="s">
        <v>589</v>
      </c>
      <c r="D50" s="76">
        <v>100</v>
      </c>
      <c r="E50" s="76">
        <v>100</v>
      </c>
      <c r="F50" s="76">
        <v>100</v>
      </c>
      <c r="G50" s="76">
        <v>100</v>
      </c>
      <c r="H50" s="76">
        <v>50</v>
      </c>
      <c r="I50" s="76">
        <v>50</v>
      </c>
      <c r="J50" s="505"/>
      <c r="K50" s="76">
        <v>13.81</v>
      </c>
      <c r="L50" s="76">
        <v>13.81</v>
      </c>
      <c r="M50" s="22"/>
      <c r="N50" s="19"/>
    </row>
    <row r="51" spans="1:14" ht="15.75" customHeight="1">
      <c r="A51" s="2"/>
      <c r="B51" s="84" t="s">
        <v>167</v>
      </c>
      <c r="C51" s="84" t="s">
        <v>590</v>
      </c>
      <c r="D51" s="76">
        <v>500</v>
      </c>
      <c r="E51" s="76">
        <v>500</v>
      </c>
      <c r="F51" s="76"/>
      <c r="G51" s="76"/>
      <c r="H51" s="76">
        <v>50</v>
      </c>
      <c r="I51" s="76">
        <v>50</v>
      </c>
      <c r="J51" s="505">
        <v>72.8</v>
      </c>
      <c r="K51" s="76"/>
      <c r="L51" s="76">
        <v>15.8</v>
      </c>
      <c r="M51" s="22"/>
      <c r="N51" s="19"/>
    </row>
    <row r="52" spans="1:14" ht="15.75" customHeight="1">
      <c r="A52" s="2"/>
      <c r="B52" s="84" t="s">
        <v>169</v>
      </c>
      <c r="C52" s="84" t="s">
        <v>591</v>
      </c>
      <c r="D52" s="76">
        <v>25</v>
      </c>
      <c r="E52" s="76">
        <v>25</v>
      </c>
      <c r="F52" s="76">
        <v>25</v>
      </c>
      <c r="G52" s="76">
        <v>25</v>
      </c>
      <c r="H52" s="76">
        <v>25</v>
      </c>
      <c r="I52" s="76">
        <v>25</v>
      </c>
      <c r="J52" s="505"/>
      <c r="K52" s="76">
        <v>62.15</v>
      </c>
      <c r="L52" s="76">
        <v>46.6</v>
      </c>
      <c r="M52" s="22"/>
      <c r="N52" s="19"/>
    </row>
    <row r="53" spans="1:14" ht="15.75" customHeight="1">
      <c r="A53" s="2"/>
      <c r="B53" s="84" t="s">
        <v>212</v>
      </c>
      <c r="C53" s="84" t="s">
        <v>592</v>
      </c>
      <c r="D53" s="76">
        <v>800</v>
      </c>
      <c r="E53" s="76">
        <v>800</v>
      </c>
      <c r="F53" s="76">
        <v>800</v>
      </c>
      <c r="G53" s="76">
        <v>800</v>
      </c>
      <c r="H53" s="76">
        <v>800</v>
      </c>
      <c r="I53" s="76">
        <v>800</v>
      </c>
      <c r="J53" s="505"/>
      <c r="K53" s="76"/>
      <c r="L53" s="84" t="s">
        <v>44</v>
      </c>
      <c r="M53" s="22"/>
      <c r="N53" s="19"/>
    </row>
    <row r="54" spans="1:14" ht="15.75" customHeight="1">
      <c r="A54" s="2"/>
      <c r="B54" s="84" t="s">
        <v>368</v>
      </c>
      <c r="C54" s="84" t="s">
        <v>593</v>
      </c>
      <c r="D54" s="76">
        <v>100</v>
      </c>
      <c r="E54" s="76">
        <v>100</v>
      </c>
      <c r="F54" s="76">
        <v>100</v>
      </c>
      <c r="G54" s="76">
        <v>100</v>
      </c>
      <c r="H54" s="76">
        <v>100</v>
      </c>
      <c r="I54" s="76">
        <v>100</v>
      </c>
      <c r="J54" s="505"/>
      <c r="K54" s="76"/>
      <c r="L54" s="76">
        <v>147</v>
      </c>
      <c r="M54" s="22"/>
      <c r="N54" s="19"/>
    </row>
    <row r="55" spans="1:14" ht="15.75" customHeight="1">
      <c r="A55" s="2"/>
      <c r="B55" s="84" t="s">
        <v>594</v>
      </c>
      <c r="C55" s="84" t="s">
        <v>595</v>
      </c>
      <c r="D55" s="238">
        <v>0</v>
      </c>
      <c r="E55" s="238">
        <v>0</v>
      </c>
      <c r="F55" s="238">
        <v>0</v>
      </c>
      <c r="G55" s="238">
        <v>0</v>
      </c>
      <c r="H55" s="76">
        <v>0</v>
      </c>
      <c r="I55" s="238">
        <v>0</v>
      </c>
      <c r="J55" s="505"/>
      <c r="K55" s="238"/>
      <c r="L55" s="238">
        <v>0</v>
      </c>
      <c r="M55" s="22"/>
      <c r="N55" s="19"/>
    </row>
    <row r="56" spans="1:14" ht="15.75" customHeight="1">
      <c r="A56" s="2"/>
      <c r="B56" s="84" t="s">
        <v>218</v>
      </c>
      <c r="C56" s="84" t="s">
        <v>596</v>
      </c>
      <c r="D56" s="238">
        <v>2500</v>
      </c>
      <c r="E56" s="238">
        <v>2500</v>
      </c>
      <c r="F56" s="238">
        <v>0</v>
      </c>
      <c r="G56" s="238">
        <v>0</v>
      </c>
      <c r="H56" s="76">
        <v>0</v>
      </c>
      <c r="I56" s="238">
        <v>0</v>
      </c>
      <c r="J56" s="505"/>
      <c r="K56" s="238"/>
      <c r="L56" s="238">
        <v>0</v>
      </c>
      <c r="M56" s="22"/>
      <c r="N56" s="19"/>
    </row>
    <row r="57" spans="1:14" ht="15.75" customHeight="1">
      <c r="A57" s="2"/>
      <c r="B57" s="84" t="s">
        <v>175</v>
      </c>
      <c r="C57" s="84" t="s">
        <v>597</v>
      </c>
      <c r="D57" s="238">
        <v>0</v>
      </c>
      <c r="E57" s="238">
        <v>0</v>
      </c>
      <c r="F57" s="238">
        <v>0</v>
      </c>
      <c r="G57" s="238">
        <v>0</v>
      </c>
      <c r="H57" s="76">
        <v>0</v>
      </c>
      <c r="I57" s="238">
        <v>0</v>
      </c>
      <c r="J57" s="505"/>
      <c r="K57" s="238"/>
      <c r="L57" s="238">
        <v>0</v>
      </c>
      <c r="M57" s="22"/>
      <c r="N57" s="19"/>
    </row>
    <row r="58" spans="1:14" ht="15.75" customHeight="1">
      <c r="A58" s="2"/>
      <c r="B58" s="90" t="s">
        <v>177</v>
      </c>
      <c r="C58" s="90" t="s">
        <v>598</v>
      </c>
      <c r="D58" s="256">
        <v>0</v>
      </c>
      <c r="E58" s="256">
        <v>0</v>
      </c>
      <c r="F58" s="256">
        <v>0</v>
      </c>
      <c r="G58" s="256">
        <v>0</v>
      </c>
      <c r="H58" s="120">
        <v>0</v>
      </c>
      <c r="I58" s="256">
        <v>0</v>
      </c>
      <c r="J58" s="506"/>
      <c r="K58" s="256"/>
      <c r="L58" s="256">
        <v>0</v>
      </c>
      <c r="M58" s="22"/>
      <c r="N58" s="19"/>
    </row>
    <row r="59" spans="1:14" ht="15.75" customHeight="1">
      <c r="A59" s="6"/>
      <c r="B59" s="239"/>
      <c r="C59" s="54" t="s">
        <v>197</v>
      </c>
      <c r="D59" s="240">
        <f t="shared" ref="D59" si="2">SUM(D47:D58)</f>
        <v>31091.696</v>
      </c>
      <c r="E59" s="240">
        <f t="shared" ref="E59:L59" si="3">SUM(E47:E58)</f>
        <v>31091.696</v>
      </c>
      <c r="F59" s="240">
        <f t="shared" si="3"/>
        <v>17461</v>
      </c>
      <c r="G59" s="41">
        <f t="shared" si="3"/>
        <v>17461</v>
      </c>
      <c r="H59" s="41">
        <f t="shared" si="3"/>
        <v>11166.6</v>
      </c>
      <c r="I59" s="41">
        <f t="shared" si="3"/>
        <v>7884.5</v>
      </c>
      <c r="J59" s="507">
        <f t="shared" si="3"/>
        <v>10908.24</v>
      </c>
      <c r="K59" s="41">
        <f t="shared" si="3"/>
        <v>6304.3899999999994</v>
      </c>
      <c r="L59" s="41">
        <f t="shared" si="3"/>
        <v>13580.789999999999</v>
      </c>
      <c r="M59" s="22"/>
      <c r="N59" s="19"/>
    </row>
    <row r="60" spans="1:14" ht="15.75" customHeight="1">
      <c r="A60" s="313" t="s">
        <v>599</v>
      </c>
      <c r="B60" s="171" t="s">
        <v>600</v>
      </c>
      <c r="C60" s="311"/>
      <c r="D60" s="311"/>
      <c r="E60" s="311"/>
      <c r="F60" s="311"/>
      <c r="G60" s="11"/>
      <c r="H60" s="11"/>
      <c r="I60" s="11"/>
      <c r="J60" s="508"/>
      <c r="K60" s="11"/>
      <c r="L60" s="11"/>
      <c r="M60" s="22"/>
      <c r="N60" s="19"/>
    </row>
    <row r="61" spans="1:14" ht="15.75" customHeight="1">
      <c r="A61" s="314" t="s">
        <v>601</v>
      </c>
      <c r="B61" s="84" t="s">
        <v>360</v>
      </c>
      <c r="C61" s="84" t="s">
        <v>602</v>
      </c>
      <c r="D61" s="76">
        <v>30743.49</v>
      </c>
      <c r="E61" s="76">
        <v>30743.49</v>
      </c>
      <c r="F61" s="76">
        <v>24055</v>
      </c>
      <c r="G61" s="76">
        <v>24000</v>
      </c>
      <c r="H61" s="76">
        <v>24000</v>
      </c>
      <c r="I61" s="76">
        <v>24000</v>
      </c>
      <c r="J61" s="502">
        <v>18010.79</v>
      </c>
      <c r="K61" s="76">
        <v>21064.35</v>
      </c>
      <c r="L61" s="76">
        <v>27589.98</v>
      </c>
      <c r="M61" s="22"/>
      <c r="N61" s="19"/>
    </row>
    <row r="62" spans="1:14" ht="15.75" customHeight="1">
      <c r="A62" s="315" t="s">
        <v>603</v>
      </c>
      <c r="B62" s="84" t="s">
        <v>230</v>
      </c>
      <c r="C62" s="84" t="s">
        <v>604</v>
      </c>
      <c r="D62" s="76">
        <f>D61*0.08</f>
        <v>2459.4792000000002</v>
      </c>
      <c r="E62" s="76">
        <f>E61*0.08</f>
        <v>2459.4792000000002</v>
      </c>
      <c r="F62" s="76">
        <v>1900</v>
      </c>
      <c r="G62" s="76">
        <v>1680</v>
      </c>
      <c r="H62" s="76">
        <v>1680</v>
      </c>
      <c r="I62" s="76">
        <v>1680</v>
      </c>
      <c r="J62" s="502">
        <v>1342.02</v>
      </c>
      <c r="K62" s="76">
        <v>1918.42</v>
      </c>
      <c r="L62" s="76">
        <v>2168.87</v>
      </c>
      <c r="M62" s="22"/>
      <c r="N62" s="19"/>
    </row>
    <row r="63" spans="1:14" ht="15.75" customHeight="1">
      <c r="A63" s="123"/>
      <c r="B63" s="84" t="s">
        <v>515</v>
      </c>
      <c r="C63" s="84" t="s">
        <v>605</v>
      </c>
      <c r="D63" s="76">
        <v>500</v>
      </c>
      <c r="E63" s="76">
        <v>500</v>
      </c>
      <c r="F63" s="76">
        <v>500</v>
      </c>
      <c r="G63" s="76">
        <v>500</v>
      </c>
      <c r="H63" s="76">
        <v>500</v>
      </c>
      <c r="I63" s="76">
        <v>500</v>
      </c>
      <c r="J63" s="502">
        <v>512.41</v>
      </c>
      <c r="K63" s="76">
        <v>167.15</v>
      </c>
      <c r="L63" s="76">
        <v>361.15</v>
      </c>
      <c r="M63" s="22"/>
      <c r="N63" s="19"/>
    </row>
    <row r="64" spans="1:14" ht="15.75" customHeight="1">
      <c r="A64" s="2"/>
      <c r="B64" s="84" t="s">
        <v>204</v>
      </c>
      <c r="C64" s="84" t="s">
        <v>606</v>
      </c>
      <c r="D64" s="76">
        <v>540</v>
      </c>
      <c r="E64" s="76">
        <v>540</v>
      </c>
      <c r="F64" s="76">
        <v>540</v>
      </c>
      <c r="G64" s="76">
        <v>540</v>
      </c>
      <c r="H64" s="76">
        <v>540</v>
      </c>
      <c r="I64" s="76">
        <v>540</v>
      </c>
      <c r="J64" s="502"/>
      <c r="K64" s="76">
        <v>357.82</v>
      </c>
      <c r="L64" s="76">
        <v>1123.21</v>
      </c>
      <c r="M64" s="22"/>
      <c r="N64" s="19"/>
    </row>
    <row r="65" spans="1:14" ht="15.75" customHeight="1">
      <c r="A65" s="2"/>
      <c r="B65" s="84" t="s">
        <v>206</v>
      </c>
      <c r="C65" s="84" t="s">
        <v>607</v>
      </c>
      <c r="D65" s="76">
        <v>75</v>
      </c>
      <c r="E65" s="76">
        <v>75</v>
      </c>
      <c r="F65" s="76">
        <v>75</v>
      </c>
      <c r="G65" s="76">
        <v>75</v>
      </c>
      <c r="H65" s="76">
        <v>75</v>
      </c>
      <c r="I65" s="76">
        <v>75</v>
      </c>
      <c r="J65" s="502">
        <v>42.8</v>
      </c>
      <c r="K65" s="76">
        <v>21.27</v>
      </c>
      <c r="L65" s="76">
        <v>21.27</v>
      </c>
      <c r="M65" s="22"/>
      <c r="N65" s="19"/>
    </row>
    <row r="66" spans="1:14" ht="15.75" customHeight="1">
      <c r="A66" s="2"/>
      <c r="B66" s="84" t="s">
        <v>167</v>
      </c>
      <c r="C66" s="84" t="s">
        <v>608</v>
      </c>
      <c r="D66" s="76">
        <v>100</v>
      </c>
      <c r="E66" s="76">
        <v>100</v>
      </c>
      <c r="F66" s="76">
        <v>100</v>
      </c>
      <c r="G66" s="76">
        <v>100</v>
      </c>
      <c r="H66" s="76">
        <v>100</v>
      </c>
      <c r="I66" s="76">
        <v>100</v>
      </c>
      <c r="J66" s="502"/>
      <c r="K66" s="76">
        <v>4606.71</v>
      </c>
      <c r="L66" s="76">
        <v>351.7</v>
      </c>
      <c r="M66" s="22"/>
      <c r="N66" s="19"/>
    </row>
    <row r="67" spans="1:14" ht="15.75" customHeight="1">
      <c r="A67" s="2"/>
      <c r="B67" s="84" t="s">
        <v>169</v>
      </c>
      <c r="C67" s="84" t="s">
        <v>609</v>
      </c>
      <c r="D67" s="76">
        <v>50</v>
      </c>
      <c r="E67" s="76">
        <v>50</v>
      </c>
      <c r="F67" s="76">
        <v>50</v>
      </c>
      <c r="G67" s="76">
        <v>50</v>
      </c>
      <c r="H67" s="76">
        <v>50</v>
      </c>
      <c r="I67" s="76">
        <v>50</v>
      </c>
      <c r="J67" s="502">
        <v>609.76</v>
      </c>
      <c r="K67" s="76">
        <v>0.18</v>
      </c>
      <c r="L67" s="76">
        <v>1.1399999999999999</v>
      </c>
      <c r="M67" s="22"/>
      <c r="N67" s="19"/>
    </row>
    <row r="68" spans="1:14" ht="15.75" customHeight="1">
      <c r="A68" s="2"/>
      <c r="B68" s="84" t="s">
        <v>368</v>
      </c>
      <c r="C68" s="84" t="s">
        <v>610</v>
      </c>
      <c r="D68" s="76">
        <v>3500</v>
      </c>
      <c r="E68" s="76">
        <v>3500</v>
      </c>
      <c r="F68" s="76">
        <v>3500</v>
      </c>
      <c r="G68" s="76">
        <v>3500</v>
      </c>
      <c r="H68" s="76">
        <v>3500</v>
      </c>
      <c r="I68" s="76">
        <v>6000</v>
      </c>
      <c r="J68" s="502">
        <v>2844.53</v>
      </c>
      <c r="K68" s="76">
        <v>525</v>
      </c>
      <c r="L68" s="76">
        <v>4981.78</v>
      </c>
      <c r="M68" s="22"/>
      <c r="N68" s="19"/>
    </row>
    <row r="69" spans="1:14" ht="15.75" customHeight="1">
      <c r="A69" s="2"/>
      <c r="B69" s="84" t="s">
        <v>216</v>
      </c>
      <c r="C69" s="84" t="s">
        <v>611</v>
      </c>
      <c r="D69" s="76">
        <v>200</v>
      </c>
      <c r="E69" s="76">
        <v>200</v>
      </c>
      <c r="F69" s="76">
        <v>200</v>
      </c>
      <c r="G69" s="76">
        <v>200</v>
      </c>
      <c r="H69" s="76">
        <v>200</v>
      </c>
      <c r="I69" s="76">
        <v>200</v>
      </c>
      <c r="J69" s="502">
        <v>188.96</v>
      </c>
      <c r="K69" s="76">
        <v>2084.64</v>
      </c>
      <c r="L69" s="84" t="s">
        <v>44</v>
      </c>
      <c r="M69" s="22"/>
      <c r="N69" s="19"/>
    </row>
    <row r="70" spans="1:14" ht="15.75" customHeight="1">
      <c r="A70" s="45"/>
      <c r="B70" s="84" t="s">
        <v>220</v>
      </c>
      <c r="C70" s="84" t="s">
        <v>612</v>
      </c>
      <c r="D70" s="76">
        <v>200</v>
      </c>
      <c r="E70" s="76">
        <v>200</v>
      </c>
      <c r="F70" s="76">
        <v>200</v>
      </c>
      <c r="G70" s="76">
        <v>200</v>
      </c>
      <c r="H70" s="76">
        <v>200</v>
      </c>
      <c r="I70" s="76">
        <v>200</v>
      </c>
      <c r="J70" s="502"/>
      <c r="K70" s="76">
        <v>342.7</v>
      </c>
      <c r="L70" s="76">
        <v>210</v>
      </c>
      <c r="M70" s="22"/>
      <c r="N70" s="19"/>
    </row>
    <row r="71" spans="1:14" ht="15.75" customHeight="1">
      <c r="A71" s="261" t="s">
        <v>613</v>
      </c>
      <c r="B71" s="84" t="s">
        <v>614</v>
      </c>
      <c r="C71" s="84" t="s">
        <v>615</v>
      </c>
      <c r="D71" s="76">
        <v>5000</v>
      </c>
      <c r="E71" s="76">
        <v>5000</v>
      </c>
      <c r="F71" s="76">
        <v>15150</v>
      </c>
      <c r="G71" s="76">
        <v>5000</v>
      </c>
      <c r="H71" s="76">
        <v>5000</v>
      </c>
      <c r="I71" s="76">
        <v>3500</v>
      </c>
      <c r="J71" s="502">
        <v>12074.73</v>
      </c>
      <c r="K71" s="76">
        <v>4613.45</v>
      </c>
      <c r="L71" s="76">
        <v>4862.74</v>
      </c>
      <c r="M71" s="22"/>
      <c r="N71" s="19"/>
    </row>
    <row r="72" spans="1:14" ht="15.75" customHeight="1">
      <c r="A72" s="123"/>
      <c r="B72" s="84" t="s">
        <v>616</v>
      </c>
      <c r="C72" s="84" t="s">
        <v>617</v>
      </c>
      <c r="D72" s="76">
        <v>1000</v>
      </c>
      <c r="E72" s="76">
        <v>1000</v>
      </c>
      <c r="F72" s="76">
        <v>1000</v>
      </c>
      <c r="G72" s="76">
        <v>1000</v>
      </c>
      <c r="H72" s="76">
        <v>1000</v>
      </c>
      <c r="I72" s="76">
        <v>350</v>
      </c>
      <c r="J72" s="502">
        <v>587.61</v>
      </c>
      <c r="K72" s="76">
        <v>1106.6400000000001</v>
      </c>
      <c r="L72" s="76">
        <v>163.63</v>
      </c>
      <c r="M72" s="22"/>
      <c r="N72" s="19"/>
    </row>
    <row r="73" spans="1:14" ht="15.75" customHeight="1">
      <c r="A73" s="2"/>
      <c r="B73" s="84" t="s">
        <v>618</v>
      </c>
      <c r="C73" s="84" t="s">
        <v>619</v>
      </c>
      <c r="D73" s="76">
        <v>1000</v>
      </c>
      <c r="E73" s="76">
        <v>1000</v>
      </c>
      <c r="F73" s="76">
        <v>1000</v>
      </c>
      <c r="G73" s="76">
        <v>1000</v>
      </c>
      <c r="H73" s="76">
        <v>1000</v>
      </c>
      <c r="I73" s="76">
        <v>1000</v>
      </c>
      <c r="J73" s="502">
        <v>1905.86</v>
      </c>
      <c r="K73" s="76">
        <v>806.19</v>
      </c>
      <c r="L73" s="76">
        <v>228.36</v>
      </c>
      <c r="M73" s="22"/>
      <c r="N73" s="19"/>
    </row>
    <row r="74" spans="1:14" ht="15.75" customHeight="1">
      <c r="A74" s="2"/>
      <c r="B74" s="84" t="s">
        <v>620</v>
      </c>
      <c r="C74" s="90" t="s">
        <v>621</v>
      </c>
      <c r="D74" s="256">
        <v>0</v>
      </c>
      <c r="E74" s="256">
        <v>0</v>
      </c>
      <c r="F74" s="256">
        <v>0</v>
      </c>
      <c r="G74" s="256">
        <v>0</v>
      </c>
      <c r="H74" s="90" t="s">
        <v>44</v>
      </c>
      <c r="I74" s="90" t="s">
        <v>44</v>
      </c>
      <c r="J74" s="503"/>
      <c r="K74" s="256"/>
      <c r="L74" s="90" t="s">
        <v>44</v>
      </c>
      <c r="M74" s="22"/>
      <c r="N74" s="19"/>
    </row>
    <row r="75" spans="1:14" ht="15.75" customHeight="1">
      <c r="A75" s="2"/>
      <c r="B75" s="287"/>
      <c r="C75" s="54" t="s">
        <v>197</v>
      </c>
      <c r="D75" s="240">
        <f t="shared" ref="D75" si="4">SUM(D61:D74)</f>
        <v>45367.9692</v>
      </c>
      <c r="E75" s="240">
        <f t="shared" ref="E75:L75" si="5">SUM(E61:E74)</f>
        <v>45367.9692</v>
      </c>
      <c r="F75" s="240">
        <f t="shared" si="5"/>
        <v>48270</v>
      </c>
      <c r="G75" s="41">
        <f t="shared" si="5"/>
        <v>37845</v>
      </c>
      <c r="H75" s="41">
        <f t="shared" si="5"/>
        <v>37845</v>
      </c>
      <c r="I75" s="41">
        <f t="shared" si="5"/>
        <v>38195</v>
      </c>
      <c r="J75" s="507">
        <f t="shared" si="5"/>
        <v>38119.47</v>
      </c>
      <c r="K75" s="41">
        <f t="shared" si="5"/>
        <v>37614.519999999997</v>
      </c>
      <c r="L75" s="41">
        <f t="shared" si="5"/>
        <v>42063.829999999994</v>
      </c>
      <c r="M75" s="22"/>
      <c r="N75" s="19"/>
    </row>
    <row r="76" spans="1:14" ht="15.75" customHeight="1">
      <c r="A76" s="2"/>
      <c r="B76" s="171" t="s">
        <v>622</v>
      </c>
      <c r="C76" s="311"/>
      <c r="D76" s="311"/>
      <c r="E76" s="311"/>
      <c r="F76" s="311"/>
      <c r="G76" s="11"/>
      <c r="H76" s="11"/>
      <c r="I76" s="11"/>
      <c r="J76" s="508"/>
      <c r="K76" s="11"/>
      <c r="L76" s="11"/>
      <c r="M76" s="22"/>
      <c r="N76" s="19"/>
    </row>
    <row r="77" spans="1:14" ht="15.75" customHeight="1">
      <c r="A77" s="2"/>
      <c r="B77" s="84" t="s">
        <v>360</v>
      </c>
      <c r="C77" s="84" t="s">
        <v>623</v>
      </c>
      <c r="D77" s="76">
        <v>4102</v>
      </c>
      <c r="E77" s="76">
        <v>4102</v>
      </c>
      <c r="F77" s="76">
        <v>6960.8</v>
      </c>
      <c r="G77" s="76">
        <v>6960.8</v>
      </c>
      <c r="H77" s="76">
        <v>6960.8</v>
      </c>
      <c r="I77" s="134"/>
      <c r="J77" s="502">
        <v>1280.45</v>
      </c>
      <c r="K77" s="76">
        <v>1878.08</v>
      </c>
      <c r="L77" s="76">
        <v>0</v>
      </c>
      <c r="M77" s="22"/>
      <c r="N77" s="19"/>
    </row>
    <row r="78" spans="1:14" ht="15.75" customHeight="1">
      <c r="A78" s="2"/>
      <c r="B78" s="84" t="s">
        <v>230</v>
      </c>
      <c r="C78" s="84" t="s">
        <v>624</v>
      </c>
      <c r="D78" s="76">
        <f>D77*0.08</f>
        <v>328.16</v>
      </c>
      <c r="E78" s="76">
        <f>E77*0.08</f>
        <v>328.16</v>
      </c>
      <c r="F78" s="76">
        <v>487.26</v>
      </c>
      <c r="G78" s="76">
        <v>487.26</v>
      </c>
      <c r="H78" s="76">
        <v>487.26</v>
      </c>
      <c r="I78" s="134"/>
      <c r="J78" s="502"/>
      <c r="K78" s="76"/>
      <c r="L78" s="76">
        <v>0</v>
      </c>
      <c r="M78" s="22"/>
      <c r="N78" s="19"/>
    </row>
    <row r="79" spans="1:14" ht="15.75" customHeight="1">
      <c r="A79" s="2"/>
      <c r="B79" s="84" t="s">
        <v>515</v>
      </c>
      <c r="C79" s="84" t="s">
        <v>625</v>
      </c>
      <c r="D79" s="76">
        <v>500</v>
      </c>
      <c r="E79" s="76">
        <v>500</v>
      </c>
      <c r="F79" s="76">
        <v>500</v>
      </c>
      <c r="G79" s="76">
        <v>500</v>
      </c>
      <c r="H79" s="76">
        <v>500</v>
      </c>
      <c r="I79" s="134"/>
      <c r="J79" s="502"/>
      <c r="K79" s="76">
        <v>924</v>
      </c>
      <c r="L79" s="76">
        <v>0</v>
      </c>
      <c r="M79" s="22"/>
      <c r="N79" s="19"/>
    </row>
    <row r="80" spans="1:14" ht="15.75" customHeight="1">
      <c r="A80" s="2"/>
      <c r="B80" s="84" t="s">
        <v>206</v>
      </c>
      <c r="C80" s="84" t="s">
        <v>626</v>
      </c>
      <c r="D80" s="76">
        <v>100</v>
      </c>
      <c r="E80" s="76">
        <v>100</v>
      </c>
      <c r="F80" s="76">
        <v>100</v>
      </c>
      <c r="G80" s="76">
        <v>100</v>
      </c>
      <c r="H80" s="76">
        <v>100</v>
      </c>
      <c r="I80" s="134"/>
      <c r="J80" s="502"/>
      <c r="K80" s="76"/>
      <c r="L80" s="76">
        <v>0</v>
      </c>
      <c r="M80" s="22"/>
      <c r="N80" s="19"/>
    </row>
    <row r="81" spans="1:14" ht="15.75" customHeight="1">
      <c r="A81" s="2"/>
      <c r="B81" s="84" t="s">
        <v>167</v>
      </c>
      <c r="C81" s="84" t="s">
        <v>627</v>
      </c>
      <c r="D81" s="76">
        <v>100</v>
      </c>
      <c r="E81" s="76">
        <v>100</v>
      </c>
      <c r="F81" s="76">
        <v>100</v>
      </c>
      <c r="G81" s="76">
        <v>100</v>
      </c>
      <c r="H81" s="76">
        <v>100</v>
      </c>
      <c r="I81" s="134"/>
      <c r="J81" s="502">
        <v>44.8</v>
      </c>
      <c r="K81" s="76"/>
      <c r="L81" s="76">
        <v>0</v>
      </c>
      <c r="M81" s="22"/>
      <c r="N81" s="19"/>
    </row>
    <row r="82" spans="1:14" ht="15.75" customHeight="1">
      <c r="A82" s="2"/>
      <c r="B82" s="84" t="s">
        <v>169</v>
      </c>
      <c r="C82" s="84" t="s">
        <v>628</v>
      </c>
      <c r="D82" s="76">
        <v>25</v>
      </c>
      <c r="E82" s="76">
        <v>25</v>
      </c>
      <c r="F82" s="76">
        <v>25</v>
      </c>
      <c r="G82" s="76">
        <v>25</v>
      </c>
      <c r="H82" s="76">
        <v>25</v>
      </c>
      <c r="I82" s="134"/>
      <c r="J82" s="502"/>
      <c r="K82" s="76"/>
      <c r="L82" s="76">
        <v>0</v>
      </c>
      <c r="M82" s="22"/>
      <c r="N82" s="19"/>
    </row>
    <row r="83" spans="1:14" ht="15.75" customHeight="1">
      <c r="A83" s="2"/>
      <c r="B83" s="84" t="s">
        <v>368</v>
      </c>
      <c r="C83" s="84" t="s">
        <v>629</v>
      </c>
      <c r="D83" s="76">
        <v>3500</v>
      </c>
      <c r="E83" s="76">
        <v>3500</v>
      </c>
      <c r="F83" s="76">
        <v>3500</v>
      </c>
      <c r="G83" s="76">
        <v>3500</v>
      </c>
      <c r="H83" s="76">
        <v>3500</v>
      </c>
      <c r="I83" s="134"/>
      <c r="J83" s="502">
        <v>795.37</v>
      </c>
      <c r="K83" s="76">
        <v>525</v>
      </c>
      <c r="L83" s="76">
        <v>0</v>
      </c>
      <c r="M83" s="22"/>
      <c r="N83" s="19"/>
    </row>
    <row r="84" spans="1:14" ht="15.75" customHeight="1">
      <c r="A84" s="2"/>
      <c r="B84" s="84" t="s">
        <v>216</v>
      </c>
      <c r="C84" s="84" t="s">
        <v>630</v>
      </c>
      <c r="D84" s="76"/>
      <c r="E84" s="76"/>
      <c r="F84" s="76">
        <v>200</v>
      </c>
      <c r="G84" s="76">
        <v>200</v>
      </c>
      <c r="H84" s="76">
        <v>200</v>
      </c>
      <c r="I84" s="134"/>
      <c r="J84" s="502"/>
      <c r="K84" s="76"/>
      <c r="L84" s="76">
        <v>0</v>
      </c>
      <c r="M84" s="22"/>
      <c r="N84" s="19"/>
    </row>
    <row r="85" spans="1:14" ht="15.75" customHeight="1">
      <c r="A85" s="2"/>
      <c r="B85" s="90" t="s">
        <v>241</v>
      </c>
      <c r="C85" s="90" t="s">
        <v>631</v>
      </c>
      <c r="D85" s="120">
        <v>500</v>
      </c>
      <c r="E85" s="120">
        <v>500</v>
      </c>
      <c r="F85" s="120">
        <v>500</v>
      </c>
      <c r="G85" s="120">
        <v>500</v>
      </c>
      <c r="H85" s="120">
        <v>500</v>
      </c>
      <c r="I85" s="265"/>
      <c r="J85" s="503"/>
      <c r="K85" s="120"/>
      <c r="L85" s="120">
        <v>0</v>
      </c>
      <c r="M85" s="22"/>
      <c r="N85" s="19"/>
    </row>
    <row r="86" spans="1:14" ht="15.75" customHeight="1">
      <c r="A86" s="2"/>
      <c r="B86" s="239"/>
      <c r="C86" s="54" t="s">
        <v>197</v>
      </c>
      <c r="D86" s="240">
        <f t="shared" ref="D86" si="6">SUM(D77:D85)</f>
        <v>9155.16</v>
      </c>
      <c r="E86" s="240">
        <f t="shared" ref="E86:L86" si="7">SUM(E77:E85)</f>
        <v>9155.16</v>
      </c>
      <c r="F86" s="240">
        <f t="shared" si="7"/>
        <v>12373.060000000001</v>
      </c>
      <c r="G86" s="41">
        <f t="shared" si="7"/>
        <v>12373.060000000001</v>
      </c>
      <c r="H86" s="41">
        <f t="shared" si="7"/>
        <v>12373.060000000001</v>
      </c>
      <c r="I86" s="41">
        <f t="shared" si="7"/>
        <v>0</v>
      </c>
      <c r="J86" s="507">
        <f t="shared" si="7"/>
        <v>2120.62</v>
      </c>
      <c r="K86" s="41">
        <f t="shared" si="7"/>
        <v>3327.08</v>
      </c>
      <c r="L86" s="41">
        <f t="shared" si="7"/>
        <v>0</v>
      </c>
      <c r="M86" s="22"/>
      <c r="N86" s="19"/>
    </row>
    <row r="87" spans="1:14" ht="15.75" customHeight="1">
      <c r="A87" s="2"/>
      <c r="B87" s="236"/>
      <c r="C87" s="236"/>
      <c r="D87" s="236"/>
      <c r="E87" s="236"/>
      <c r="F87" s="236"/>
      <c r="G87" s="11"/>
      <c r="H87" s="11"/>
      <c r="I87" s="11"/>
      <c r="J87" s="509"/>
      <c r="K87" s="11"/>
      <c r="L87" s="11"/>
      <c r="M87" s="22"/>
      <c r="N87" s="19"/>
    </row>
    <row r="88" spans="1:14" ht="15.75" customHeight="1">
      <c r="A88" s="2"/>
      <c r="B88" s="7"/>
      <c r="C88" s="252" t="s">
        <v>632</v>
      </c>
      <c r="D88" s="294">
        <f t="shared" ref="D88" si="8">D45</f>
        <v>56303.400000000009</v>
      </c>
      <c r="E88" s="294">
        <f t="shared" ref="E88:L88" si="9">E45</f>
        <v>56303.400000000009</v>
      </c>
      <c r="F88" s="294">
        <f t="shared" si="9"/>
        <v>45004</v>
      </c>
      <c r="G88" s="21">
        <f t="shared" si="9"/>
        <v>50004</v>
      </c>
      <c r="H88" s="21">
        <f t="shared" si="9"/>
        <v>61524.760000000009</v>
      </c>
      <c r="I88" s="21">
        <f t="shared" si="9"/>
        <v>69360</v>
      </c>
      <c r="J88" s="510">
        <f t="shared" si="9"/>
        <v>45883.029999999992</v>
      </c>
      <c r="K88" s="21">
        <f t="shared" si="9"/>
        <v>44650.71</v>
      </c>
      <c r="L88" s="21">
        <f t="shared" si="9"/>
        <v>114645.82999999999</v>
      </c>
      <c r="M88" s="22"/>
      <c r="N88" s="19"/>
    </row>
    <row r="89" spans="1:14" ht="15.75" customHeight="1">
      <c r="A89" s="2"/>
      <c r="B89" s="7"/>
      <c r="C89" s="252" t="s">
        <v>633</v>
      </c>
      <c r="D89" s="294">
        <f t="shared" ref="D89" si="10">D59</f>
        <v>31091.696</v>
      </c>
      <c r="E89" s="294">
        <f t="shared" ref="E89:L89" si="11">E59</f>
        <v>31091.696</v>
      </c>
      <c r="F89" s="294">
        <f t="shared" si="11"/>
        <v>17461</v>
      </c>
      <c r="G89" s="21">
        <f t="shared" si="11"/>
        <v>17461</v>
      </c>
      <c r="H89" s="21">
        <f t="shared" si="11"/>
        <v>11166.6</v>
      </c>
      <c r="I89" s="21">
        <f t="shared" si="11"/>
        <v>7884.5</v>
      </c>
      <c r="J89" s="510">
        <f t="shared" si="11"/>
        <v>10908.24</v>
      </c>
      <c r="K89" s="21">
        <f t="shared" si="11"/>
        <v>6304.3899999999994</v>
      </c>
      <c r="L89" s="21">
        <f t="shared" si="11"/>
        <v>13580.789999999999</v>
      </c>
      <c r="M89" s="22"/>
      <c r="N89" s="19"/>
    </row>
    <row r="90" spans="1:14" ht="15.75" customHeight="1">
      <c r="A90" s="2"/>
      <c r="B90" s="7"/>
      <c r="C90" s="252" t="s">
        <v>634</v>
      </c>
      <c r="D90" s="316">
        <f t="shared" ref="D90" si="12">D75+D86</f>
        <v>54523.129199999996</v>
      </c>
      <c r="E90" s="316">
        <f t="shared" ref="E90:L90" si="13">E75+E86</f>
        <v>54523.129199999996</v>
      </c>
      <c r="F90" s="316">
        <f t="shared" si="13"/>
        <v>60643.06</v>
      </c>
      <c r="G90" s="21">
        <f t="shared" si="13"/>
        <v>50218.06</v>
      </c>
      <c r="H90" s="21">
        <f t="shared" si="13"/>
        <v>50218.06</v>
      </c>
      <c r="I90" s="21">
        <f t="shared" si="13"/>
        <v>38195</v>
      </c>
      <c r="J90" s="510">
        <f t="shared" si="13"/>
        <v>40240.090000000004</v>
      </c>
      <c r="K90" s="21">
        <f t="shared" si="13"/>
        <v>40941.599999999999</v>
      </c>
      <c r="L90" s="21">
        <f t="shared" si="13"/>
        <v>42063.829999999994</v>
      </c>
      <c r="M90" s="22"/>
      <c r="N90" s="19"/>
    </row>
    <row r="91" spans="1:14" ht="15.75" customHeight="1">
      <c r="A91" s="2"/>
      <c r="B91" s="287"/>
      <c r="C91" s="295" t="s">
        <v>635</v>
      </c>
      <c r="D91" s="296">
        <f>SUM(D88:D89)</f>
        <v>87395.096000000005</v>
      </c>
      <c r="E91" s="296">
        <f>SUM(E88:E89)</f>
        <v>87395.096000000005</v>
      </c>
      <c r="F91" s="296">
        <f>F88+F89</f>
        <v>62465</v>
      </c>
      <c r="G91" s="30">
        <f>G88+G89</f>
        <v>67465</v>
      </c>
      <c r="H91" s="30">
        <f>H86+H75+H59+H45</f>
        <v>122909.42000000001</v>
      </c>
      <c r="I91" s="30">
        <f>I86+I75+I59+I45</f>
        <v>115439.5</v>
      </c>
      <c r="J91" s="511">
        <f>J88+J89</f>
        <v>56791.26999999999</v>
      </c>
      <c r="K91" s="30">
        <f>K88+K89</f>
        <v>50955.1</v>
      </c>
      <c r="L91" s="30">
        <f>L89+L88</f>
        <v>128226.61999999998</v>
      </c>
      <c r="M91" s="22"/>
      <c r="N91" s="19"/>
    </row>
    <row r="92" spans="1:14" ht="15.75" customHeight="1">
      <c r="A92" s="19"/>
      <c r="B92" s="167"/>
      <c r="C92" s="317"/>
      <c r="D92" s="240">
        <f>D90+D91</f>
        <v>141918.22519999999</v>
      </c>
      <c r="E92" s="240">
        <f>E90+E91</f>
        <v>141918.22519999999</v>
      </c>
      <c r="F92" s="240">
        <f>F91+F90</f>
        <v>123108.06</v>
      </c>
      <c r="G92" s="240">
        <f>G91+G90</f>
        <v>117683.06</v>
      </c>
      <c r="H92" s="240">
        <f>SUM(H88:H91)</f>
        <v>245818.84000000003</v>
      </c>
      <c r="I92" s="240">
        <f>SUM(I88:I91)</f>
        <v>230879</v>
      </c>
      <c r="J92" s="512">
        <f>J91+J90</f>
        <v>97031.359999999986</v>
      </c>
      <c r="K92" s="240">
        <f>K91+K90</f>
        <v>91896.7</v>
      </c>
      <c r="L92" s="41">
        <f>L91+L90</f>
        <v>170290.44999999998</v>
      </c>
      <c r="M92" s="22"/>
      <c r="N92" s="19"/>
    </row>
    <row r="93" spans="1:14" ht="15.75" customHeight="1">
      <c r="A93" s="19"/>
      <c r="B93" s="19"/>
      <c r="C93" s="318"/>
      <c r="E93" s="319"/>
      <c r="F93" s="319"/>
      <c r="G93" s="320"/>
      <c r="H93" s="320"/>
      <c r="I93" s="320"/>
      <c r="J93" s="513"/>
      <c r="K93" s="320"/>
      <c r="L93" s="320"/>
      <c r="M93" s="19"/>
      <c r="N93" s="19"/>
    </row>
  </sheetData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246"/>
  <sheetViews>
    <sheetView showGridLines="0" topLeftCell="B1" workbookViewId="0">
      <selection activeCell="J2" sqref="J1:J1048576"/>
    </sheetView>
  </sheetViews>
  <sheetFormatPr defaultColWidth="14.42578125" defaultRowHeight="15" customHeight="1"/>
  <cols>
    <col min="1" max="1" width="14.42578125" style="321" hidden="1" customWidth="1"/>
    <col min="2" max="2" width="37.140625" style="321" customWidth="1"/>
    <col min="3" max="3" width="16.140625" style="321" customWidth="1"/>
    <col min="4" max="4" width="18.28515625" style="433" customWidth="1"/>
    <col min="5" max="5" width="25.7109375" style="321" customWidth="1"/>
    <col min="6" max="6" width="12.140625" style="321" customWidth="1"/>
    <col min="7" max="7" width="15.85546875" style="321" customWidth="1"/>
    <col min="8" max="8" width="17.42578125" style="321" customWidth="1"/>
    <col min="9" max="9" width="20.42578125" style="321" customWidth="1"/>
    <col min="10" max="10" width="26.85546875" style="514" customWidth="1"/>
    <col min="11" max="11" width="18.7109375" style="321" customWidth="1"/>
    <col min="12" max="12" width="16.7109375" style="321" customWidth="1"/>
    <col min="13" max="13" width="72.140625" style="321" customWidth="1"/>
    <col min="14" max="257" width="14.42578125" style="321" customWidth="1"/>
  </cols>
  <sheetData>
    <row r="1" spans="1:20" ht="15.75" customHeight="1">
      <c r="A1" s="2"/>
      <c r="B1" s="462" t="s">
        <v>636</v>
      </c>
      <c r="C1" s="457"/>
      <c r="D1" s="496"/>
      <c r="E1" s="465"/>
      <c r="F1" s="465"/>
      <c r="G1" s="465"/>
      <c r="H1" s="465"/>
      <c r="I1" s="458"/>
      <c r="J1" s="458"/>
      <c r="K1" s="458"/>
      <c r="L1" s="466"/>
      <c r="M1" s="22"/>
      <c r="N1" s="19"/>
      <c r="O1" s="19"/>
      <c r="P1" s="19"/>
      <c r="Q1" s="19"/>
      <c r="R1" s="19"/>
      <c r="S1" s="19"/>
      <c r="T1" s="19"/>
    </row>
    <row r="2" spans="1:20" ht="33" customHeight="1">
      <c r="A2" s="2"/>
      <c r="B2" s="233" t="s">
        <v>156</v>
      </c>
      <c r="C2" s="322" t="s">
        <v>157</v>
      </c>
      <c r="D2" s="233" t="s">
        <v>1170</v>
      </c>
      <c r="E2" s="231" t="s">
        <v>8</v>
      </c>
      <c r="F2" s="232" t="s">
        <v>158</v>
      </c>
      <c r="G2" s="232" t="s">
        <v>159</v>
      </c>
      <c r="H2" s="234" t="s">
        <v>161</v>
      </c>
      <c r="I2" s="322" t="s">
        <v>162</v>
      </c>
      <c r="J2" s="515" t="s">
        <v>637</v>
      </c>
      <c r="K2" s="323" t="s">
        <v>638</v>
      </c>
      <c r="L2" s="322" t="s">
        <v>165</v>
      </c>
      <c r="M2" s="22"/>
      <c r="N2" s="19"/>
      <c r="O2" s="19"/>
      <c r="P2" s="19"/>
      <c r="Q2" s="19"/>
      <c r="R2" s="19"/>
      <c r="S2" s="19"/>
      <c r="T2" s="19"/>
    </row>
    <row r="3" spans="1:20" ht="15.75" customHeight="1">
      <c r="A3" s="2"/>
      <c r="B3" s="171" t="s">
        <v>639</v>
      </c>
      <c r="C3" s="258"/>
      <c r="D3" s="258"/>
      <c r="E3" s="258"/>
      <c r="F3" s="258"/>
      <c r="G3" s="241"/>
      <c r="H3" s="324"/>
      <c r="I3" s="241"/>
      <c r="J3" s="516"/>
      <c r="K3" s="325"/>
      <c r="L3" s="241"/>
      <c r="M3" s="22"/>
      <c r="N3" s="19"/>
      <c r="O3" s="19"/>
      <c r="P3" s="19"/>
      <c r="Q3" s="19"/>
      <c r="R3" s="19"/>
      <c r="S3" s="19"/>
      <c r="T3" s="19"/>
    </row>
    <row r="4" spans="1:20" ht="15.75" customHeight="1">
      <c r="A4" s="2"/>
      <c r="B4" s="84" t="s">
        <v>360</v>
      </c>
      <c r="C4" s="84" t="s">
        <v>640</v>
      </c>
      <c r="D4" s="238">
        <v>78780</v>
      </c>
      <c r="E4" s="238">
        <v>78780</v>
      </c>
      <c r="F4" s="238">
        <f t="shared" ref="F4:G4" si="0">(85000/12)*9</f>
        <v>63750</v>
      </c>
      <c r="G4" s="238">
        <f t="shared" si="0"/>
        <v>63750</v>
      </c>
      <c r="H4" s="326"/>
      <c r="I4" s="294"/>
      <c r="J4" s="517">
        <v>22151.040000000001</v>
      </c>
      <c r="K4" s="327"/>
      <c r="L4" s="294">
        <v>57211.53</v>
      </c>
      <c r="M4" s="22"/>
      <c r="N4" s="19"/>
      <c r="O4" s="19"/>
      <c r="P4" s="19"/>
      <c r="Q4" s="19"/>
      <c r="R4" s="19"/>
      <c r="S4" s="19"/>
      <c r="T4" s="19"/>
    </row>
    <row r="5" spans="1:20" ht="15.75" customHeight="1">
      <c r="A5" s="2"/>
      <c r="B5" s="84" t="s">
        <v>230</v>
      </c>
      <c r="C5" s="84" t="s">
        <v>641</v>
      </c>
      <c r="D5" s="238">
        <f>D4*0.23</f>
        <v>18119.400000000001</v>
      </c>
      <c r="E5" s="238">
        <f>E4*0.23</f>
        <v>18119.400000000001</v>
      </c>
      <c r="F5" s="238">
        <f>F4*0.23</f>
        <v>14662.5</v>
      </c>
      <c r="G5" s="238">
        <f>G4*0.23</f>
        <v>14662.5</v>
      </c>
      <c r="H5" s="326"/>
      <c r="I5" s="294"/>
      <c r="J5" s="517">
        <v>5982.63</v>
      </c>
      <c r="K5" s="327"/>
      <c r="L5" s="294">
        <v>6004.62</v>
      </c>
      <c r="M5" s="22"/>
      <c r="N5" s="19"/>
      <c r="O5" s="19"/>
      <c r="P5" s="19"/>
      <c r="Q5" s="19"/>
      <c r="R5" s="19"/>
      <c r="S5" s="19"/>
      <c r="T5" s="19"/>
    </row>
    <row r="6" spans="1:20" ht="15.75" customHeight="1">
      <c r="A6" s="2"/>
      <c r="B6" s="84" t="s">
        <v>642</v>
      </c>
      <c r="C6" s="84" t="s">
        <v>643</v>
      </c>
      <c r="D6" s="238">
        <v>1260</v>
      </c>
      <c r="E6" s="238">
        <v>1260</v>
      </c>
      <c r="F6" s="238">
        <v>1200</v>
      </c>
      <c r="G6" s="238">
        <v>1200</v>
      </c>
      <c r="H6" s="326"/>
      <c r="I6" s="294"/>
      <c r="J6" s="517"/>
      <c r="K6" s="327"/>
      <c r="L6" s="294">
        <v>827.27</v>
      </c>
      <c r="M6" s="7"/>
      <c r="N6" s="22"/>
      <c r="O6" s="19"/>
      <c r="P6" s="19"/>
      <c r="Q6" s="19"/>
      <c r="R6" s="19"/>
      <c r="S6" s="19"/>
      <c r="T6" s="19"/>
    </row>
    <row r="7" spans="1:20" ht="15.75" customHeight="1">
      <c r="A7" s="2"/>
      <c r="B7" s="84" t="s">
        <v>206</v>
      </c>
      <c r="C7" s="84" t="s">
        <v>644</v>
      </c>
      <c r="D7" s="238">
        <v>250</v>
      </c>
      <c r="E7" s="238">
        <v>250</v>
      </c>
      <c r="F7" s="238">
        <v>250</v>
      </c>
      <c r="G7" s="238">
        <v>250</v>
      </c>
      <c r="H7" s="326"/>
      <c r="I7" s="294"/>
      <c r="J7" s="517"/>
      <c r="K7" s="327"/>
      <c r="L7" s="294">
        <v>10.61</v>
      </c>
      <c r="M7" s="22"/>
      <c r="N7" s="19"/>
      <c r="O7" s="19"/>
      <c r="P7" s="19"/>
      <c r="Q7" s="19"/>
      <c r="R7" s="19"/>
      <c r="S7" s="19"/>
      <c r="T7" s="19"/>
    </row>
    <row r="8" spans="1:20" ht="15.75" customHeight="1">
      <c r="A8" s="2"/>
      <c r="B8" s="84" t="s">
        <v>645</v>
      </c>
      <c r="C8" s="84" t="s">
        <v>646</v>
      </c>
      <c r="D8" s="238">
        <v>100</v>
      </c>
      <c r="E8" s="238">
        <v>100</v>
      </c>
      <c r="F8" s="238"/>
      <c r="G8" s="238"/>
      <c r="H8" s="326"/>
      <c r="I8" s="294"/>
      <c r="J8" s="517">
        <v>25.55</v>
      </c>
      <c r="K8" s="327"/>
      <c r="L8" s="294"/>
      <c r="M8" s="22"/>
      <c r="N8" s="19"/>
      <c r="O8" s="19"/>
      <c r="P8" s="19"/>
      <c r="Q8" s="19"/>
      <c r="R8" s="19"/>
      <c r="S8" s="19"/>
      <c r="T8" s="19"/>
    </row>
    <row r="9" spans="1:20" ht="15.75" customHeight="1">
      <c r="A9" s="2"/>
      <c r="B9" s="84" t="s">
        <v>647</v>
      </c>
      <c r="C9" s="84" t="s">
        <v>648</v>
      </c>
      <c r="D9" s="238">
        <v>50</v>
      </c>
      <c r="E9" s="238">
        <v>50</v>
      </c>
      <c r="F9" s="238">
        <v>50</v>
      </c>
      <c r="G9" s="238">
        <v>50</v>
      </c>
      <c r="H9" s="326"/>
      <c r="I9" s="294"/>
      <c r="J9" s="517">
        <v>53.28</v>
      </c>
      <c r="K9" s="327"/>
      <c r="L9" s="294">
        <v>0.06</v>
      </c>
      <c r="M9" s="22"/>
      <c r="N9" s="19"/>
      <c r="O9" s="19"/>
      <c r="P9" s="19"/>
      <c r="Q9" s="19"/>
      <c r="R9" s="19"/>
      <c r="S9" s="19"/>
      <c r="T9" s="19"/>
    </row>
    <row r="10" spans="1:20" ht="15.75" customHeight="1">
      <c r="A10" s="2"/>
      <c r="B10" s="84" t="s">
        <v>649</v>
      </c>
      <c r="C10" s="84" t="s">
        <v>650</v>
      </c>
      <c r="D10" s="238">
        <v>3000</v>
      </c>
      <c r="E10" s="238">
        <v>3000</v>
      </c>
      <c r="F10" s="238">
        <v>2000</v>
      </c>
      <c r="G10" s="238">
        <v>2000</v>
      </c>
      <c r="H10" s="326"/>
      <c r="I10" s="294"/>
      <c r="J10" s="517"/>
      <c r="K10" s="327"/>
      <c r="L10" s="294">
        <v>5004.38</v>
      </c>
      <c r="M10" s="7"/>
      <c r="N10" s="22"/>
      <c r="O10" s="19"/>
      <c r="P10" s="19"/>
      <c r="Q10" s="19"/>
      <c r="R10" s="19"/>
      <c r="S10" s="19"/>
      <c r="T10" s="19"/>
    </row>
    <row r="11" spans="1:20" ht="15.75" customHeight="1">
      <c r="A11" s="2"/>
      <c r="B11" s="84" t="s">
        <v>651</v>
      </c>
      <c r="C11" s="84" t="s">
        <v>652</v>
      </c>
      <c r="D11" s="238"/>
      <c r="E11" s="238"/>
      <c r="F11" s="238"/>
      <c r="G11" s="238"/>
      <c r="H11" s="326"/>
      <c r="I11" s="294"/>
      <c r="J11" s="517">
        <v>1807.44</v>
      </c>
      <c r="K11" s="327"/>
      <c r="L11" s="294"/>
      <c r="M11" s="7"/>
      <c r="N11" s="22"/>
      <c r="O11" s="19"/>
      <c r="P11" s="19"/>
      <c r="Q11" s="19"/>
      <c r="R11" s="19"/>
      <c r="S11" s="19"/>
      <c r="T11" s="19"/>
    </row>
    <row r="12" spans="1:20" ht="15.75" customHeight="1">
      <c r="A12" s="2"/>
      <c r="B12" s="84" t="s">
        <v>594</v>
      </c>
      <c r="C12" s="84" t="s">
        <v>653</v>
      </c>
      <c r="D12" s="328">
        <v>500</v>
      </c>
      <c r="E12" s="328">
        <v>500</v>
      </c>
      <c r="F12" s="238">
        <v>2000</v>
      </c>
      <c r="G12" s="238">
        <v>2000</v>
      </c>
      <c r="H12" s="326"/>
      <c r="I12" s="294"/>
      <c r="J12" s="517"/>
      <c r="K12" s="327"/>
      <c r="L12" s="294"/>
      <c r="M12" s="7"/>
      <c r="N12" s="22"/>
      <c r="O12" s="19"/>
      <c r="P12" s="19"/>
      <c r="Q12" s="19"/>
      <c r="R12" s="19"/>
      <c r="S12" s="19"/>
      <c r="T12" s="19"/>
    </row>
    <row r="13" spans="1:20" ht="15.75" customHeight="1">
      <c r="A13" s="2"/>
      <c r="B13" s="84" t="s">
        <v>654</v>
      </c>
      <c r="C13" s="84" t="s">
        <v>655</v>
      </c>
      <c r="D13" s="329">
        <v>200</v>
      </c>
      <c r="E13" s="329">
        <v>200</v>
      </c>
      <c r="F13" s="238"/>
      <c r="G13" s="238"/>
      <c r="H13" s="326"/>
      <c r="I13" s="294"/>
      <c r="J13" s="517"/>
      <c r="K13" s="327"/>
      <c r="L13" s="294"/>
      <c r="M13" s="7"/>
      <c r="N13" s="22"/>
      <c r="O13" s="19"/>
      <c r="P13" s="19"/>
      <c r="Q13" s="19"/>
      <c r="R13" s="19"/>
      <c r="S13" s="19"/>
      <c r="T13" s="19"/>
    </row>
    <row r="14" spans="1:20" ht="15.75" customHeight="1">
      <c r="A14" s="2"/>
      <c r="B14" s="84" t="s">
        <v>656</v>
      </c>
      <c r="C14" s="84" t="s">
        <v>657</v>
      </c>
      <c r="D14" s="330">
        <v>1500</v>
      </c>
      <c r="E14" s="330">
        <v>1500</v>
      </c>
      <c r="F14" s="238"/>
      <c r="G14" s="238"/>
      <c r="H14" s="326"/>
      <c r="I14" s="294"/>
      <c r="J14" s="517"/>
      <c r="K14" s="327"/>
      <c r="L14" s="294"/>
      <c r="M14" s="22"/>
      <c r="N14" s="19"/>
      <c r="O14" s="19"/>
      <c r="P14" s="19"/>
      <c r="Q14" s="19"/>
      <c r="R14" s="19"/>
      <c r="S14" s="19"/>
      <c r="T14" s="19"/>
    </row>
    <row r="15" spans="1:20" ht="15.75" customHeight="1">
      <c r="A15" s="2"/>
      <c r="B15" s="84" t="s">
        <v>216</v>
      </c>
      <c r="C15" s="84" t="s">
        <v>658</v>
      </c>
      <c r="D15" s="238">
        <v>0</v>
      </c>
      <c r="E15" s="238">
        <v>0</v>
      </c>
      <c r="F15" s="238">
        <v>500</v>
      </c>
      <c r="G15" s="238">
        <v>500</v>
      </c>
      <c r="H15" s="326"/>
      <c r="I15" s="294"/>
      <c r="J15" s="517">
        <v>100.78</v>
      </c>
      <c r="K15" s="327"/>
      <c r="L15" s="294"/>
      <c r="M15" s="22"/>
      <c r="N15" s="19"/>
      <c r="O15" s="19"/>
      <c r="P15" s="19"/>
      <c r="Q15" s="19"/>
      <c r="R15" s="19"/>
      <c r="S15" s="19"/>
      <c r="T15" s="19"/>
    </row>
    <row r="16" spans="1:20" ht="15.75" customHeight="1">
      <c r="A16" s="2"/>
      <c r="B16" s="84" t="s">
        <v>659</v>
      </c>
      <c r="C16" s="84" t="s">
        <v>660</v>
      </c>
      <c r="D16" s="238">
        <v>0</v>
      </c>
      <c r="E16" s="238">
        <v>0</v>
      </c>
      <c r="F16" s="238">
        <v>35000</v>
      </c>
      <c r="G16" s="238">
        <v>35000</v>
      </c>
      <c r="H16" s="326"/>
      <c r="I16" s="294"/>
      <c r="J16" s="517"/>
      <c r="K16" s="327"/>
      <c r="L16" s="294"/>
      <c r="M16" s="331"/>
      <c r="N16" s="19"/>
      <c r="O16" s="19"/>
      <c r="P16" s="19"/>
      <c r="Q16" s="19"/>
      <c r="R16" s="19"/>
      <c r="S16" s="19"/>
      <c r="T16" s="19"/>
    </row>
    <row r="17" spans="1:20" ht="15.75" customHeight="1">
      <c r="A17" s="2"/>
      <c r="B17" s="84" t="s">
        <v>661</v>
      </c>
      <c r="C17" s="84" t="s">
        <v>662</v>
      </c>
      <c r="D17" s="238">
        <v>9800</v>
      </c>
      <c r="E17" s="238">
        <v>9800</v>
      </c>
      <c r="F17" s="238">
        <v>1500</v>
      </c>
      <c r="G17" s="238">
        <v>1500</v>
      </c>
      <c r="H17" s="332"/>
      <c r="I17" s="294"/>
      <c r="J17" s="517"/>
      <c r="K17" s="327"/>
      <c r="L17" s="294"/>
      <c r="M17" s="333"/>
      <c r="N17" s="22"/>
      <c r="O17" s="19"/>
      <c r="P17" s="19"/>
      <c r="Q17" s="19"/>
      <c r="R17" s="19"/>
      <c r="S17" s="19"/>
      <c r="T17" s="19"/>
    </row>
    <row r="18" spans="1:20" ht="15.75" customHeight="1">
      <c r="A18" s="45"/>
      <c r="B18" s="84" t="s">
        <v>220</v>
      </c>
      <c r="C18" s="84" t="s">
        <v>663</v>
      </c>
      <c r="D18" s="238">
        <v>2000</v>
      </c>
      <c r="E18" s="238">
        <v>2000</v>
      </c>
      <c r="F18" s="238">
        <v>500</v>
      </c>
      <c r="G18" s="238">
        <v>500</v>
      </c>
      <c r="H18" s="326"/>
      <c r="I18" s="294"/>
      <c r="J18" s="517">
        <v>167.21</v>
      </c>
      <c r="K18" s="327"/>
      <c r="L18" s="294">
        <v>126.57</v>
      </c>
      <c r="M18" s="236"/>
      <c r="N18" s="22"/>
      <c r="O18" s="19"/>
      <c r="P18" s="19"/>
      <c r="Q18" s="19"/>
      <c r="R18" s="19"/>
      <c r="S18" s="19"/>
      <c r="T18" s="19"/>
    </row>
    <row r="19" spans="1:20" ht="15.75" customHeight="1">
      <c r="A19" s="122" t="s">
        <v>664</v>
      </c>
      <c r="B19" s="90" t="s">
        <v>177</v>
      </c>
      <c r="C19" s="90" t="s">
        <v>665</v>
      </c>
      <c r="D19" s="256">
        <v>1000</v>
      </c>
      <c r="E19" s="256">
        <v>1000</v>
      </c>
      <c r="F19" s="256">
        <v>500</v>
      </c>
      <c r="G19" s="256">
        <v>2500</v>
      </c>
      <c r="H19" s="334"/>
      <c r="I19" s="296"/>
      <c r="J19" s="518">
        <v>1624.98</v>
      </c>
      <c r="K19" s="335"/>
      <c r="L19" s="296"/>
      <c r="M19" s="469"/>
      <c r="N19" s="470"/>
      <c r="O19" s="470"/>
      <c r="P19" s="470"/>
      <c r="Q19" s="470"/>
      <c r="R19" s="470"/>
      <c r="S19" s="470"/>
      <c r="T19" s="470"/>
    </row>
    <row r="20" spans="1:20" ht="15.75" customHeight="1">
      <c r="A20" s="123"/>
      <c r="B20" s="54" t="s">
        <v>197</v>
      </c>
      <c r="C20" s="317"/>
      <c r="D20" s="240">
        <f>SUM(D4:D19)</f>
        <v>116559.4</v>
      </c>
      <c r="E20" s="240">
        <f>SUM(E4:E19)</f>
        <v>116559.4</v>
      </c>
      <c r="F20" s="240">
        <f>SUM(F4:F19)</f>
        <v>121912.5</v>
      </c>
      <c r="G20" s="240">
        <f>SUM(G4:G19)</f>
        <v>123912.5</v>
      </c>
      <c r="H20" s="336"/>
      <c r="I20" s="240"/>
      <c r="J20" s="519">
        <f>SUM(J4:J19)</f>
        <v>31912.909999999996</v>
      </c>
      <c r="K20" s="337"/>
      <c r="L20" s="240">
        <f>SUM(L4:L18)</f>
        <v>69185.040000000008</v>
      </c>
      <c r="M20" s="22"/>
      <c r="N20" s="19"/>
      <c r="O20" s="19"/>
      <c r="P20" s="19"/>
      <c r="Q20" s="19"/>
      <c r="R20" s="19"/>
      <c r="S20" s="19"/>
      <c r="T20" s="19"/>
    </row>
    <row r="21" spans="1:20" ht="15.75" customHeight="1">
      <c r="A21" s="2"/>
      <c r="B21" s="171" t="s">
        <v>666</v>
      </c>
      <c r="C21" s="236"/>
      <c r="D21" s="236"/>
      <c r="E21" s="236"/>
      <c r="F21" s="236"/>
      <c r="G21" s="11"/>
      <c r="H21" s="11"/>
      <c r="I21" s="11"/>
      <c r="J21" s="517"/>
      <c r="K21" s="11"/>
      <c r="L21" s="11"/>
      <c r="M21" s="22"/>
      <c r="N21" s="19"/>
      <c r="O21" s="19"/>
      <c r="P21" s="19"/>
      <c r="Q21" s="19"/>
      <c r="R21" s="19"/>
      <c r="S21" s="19"/>
      <c r="T21" s="19"/>
    </row>
    <row r="22" spans="1:20" ht="15.75" customHeight="1">
      <c r="A22" s="2"/>
      <c r="B22" s="84" t="s">
        <v>667</v>
      </c>
      <c r="C22" s="84" t="s">
        <v>668</v>
      </c>
      <c r="D22" s="76">
        <v>73600</v>
      </c>
      <c r="E22" s="76">
        <v>73600</v>
      </c>
      <c r="F22" s="76">
        <f t="shared" ref="F22:G22" si="1">55000+50000</f>
        <v>105000</v>
      </c>
      <c r="G22" s="76">
        <f t="shared" si="1"/>
        <v>105000</v>
      </c>
      <c r="H22" s="76">
        <v>136400</v>
      </c>
      <c r="I22" s="76">
        <v>124020</v>
      </c>
      <c r="J22" s="517">
        <v>228255.69</v>
      </c>
      <c r="K22" s="76">
        <v>223682.03</v>
      </c>
      <c r="L22" s="76">
        <v>185060.21</v>
      </c>
      <c r="M22" s="22"/>
      <c r="N22" s="19"/>
      <c r="O22" s="19"/>
      <c r="P22" s="19"/>
      <c r="Q22" s="19"/>
      <c r="R22" s="19"/>
      <c r="S22" s="19"/>
      <c r="T22" s="19"/>
    </row>
    <row r="23" spans="1:20" ht="15.75" customHeight="1">
      <c r="A23" s="2"/>
      <c r="B23" s="84" t="s">
        <v>200</v>
      </c>
      <c r="C23" s="84" t="s">
        <v>669</v>
      </c>
      <c r="D23" s="76">
        <v>19460</v>
      </c>
      <c r="E23" s="76">
        <v>19460</v>
      </c>
      <c r="F23" s="76">
        <f>F22*0.23</f>
        <v>24150</v>
      </c>
      <c r="G23" s="76">
        <f>G22*0.23</f>
        <v>24150</v>
      </c>
      <c r="H23" s="76">
        <v>30008</v>
      </c>
      <c r="I23" s="76">
        <v>19980</v>
      </c>
      <c r="J23" s="517">
        <v>58202.14</v>
      </c>
      <c r="K23" s="76">
        <v>41802.379999999997</v>
      </c>
      <c r="L23" s="76">
        <v>34458.629999999997</v>
      </c>
      <c r="M23" s="22"/>
      <c r="N23" s="19"/>
      <c r="O23" s="19"/>
      <c r="P23" s="19"/>
      <c r="Q23" s="19"/>
      <c r="R23" s="19"/>
      <c r="S23" s="19"/>
      <c r="T23" s="19"/>
    </row>
    <row r="24" spans="1:20" ht="15.75" customHeight="1">
      <c r="A24" s="2"/>
      <c r="B24" s="84" t="s">
        <v>204</v>
      </c>
      <c r="C24" s="84" t="s">
        <v>670</v>
      </c>
      <c r="D24" s="76">
        <v>3160</v>
      </c>
      <c r="E24" s="76">
        <v>3160</v>
      </c>
      <c r="F24" s="76">
        <v>2960</v>
      </c>
      <c r="G24" s="76">
        <v>2960</v>
      </c>
      <c r="H24" s="76">
        <v>2960</v>
      </c>
      <c r="I24" s="76">
        <v>1800</v>
      </c>
      <c r="J24" s="517">
        <v>3365.63</v>
      </c>
      <c r="K24" s="76">
        <v>3451.16</v>
      </c>
      <c r="L24" s="76">
        <v>2701.51</v>
      </c>
      <c r="M24" s="22"/>
      <c r="N24" s="19"/>
      <c r="O24" s="19"/>
      <c r="P24" s="19"/>
      <c r="Q24" s="19"/>
      <c r="R24" s="19"/>
      <c r="S24" s="19"/>
      <c r="T24" s="19"/>
    </row>
    <row r="25" spans="1:20" ht="15.75" customHeight="1">
      <c r="A25" s="2"/>
      <c r="B25" s="84" t="s">
        <v>206</v>
      </c>
      <c r="C25" s="84" t="s">
        <v>671</v>
      </c>
      <c r="D25" s="76">
        <v>500</v>
      </c>
      <c r="E25" s="76">
        <v>500</v>
      </c>
      <c r="F25" s="76">
        <v>1500</v>
      </c>
      <c r="G25" s="76">
        <v>1500</v>
      </c>
      <c r="H25" s="76">
        <v>800</v>
      </c>
      <c r="I25" s="76">
        <v>500</v>
      </c>
      <c r="J25" s="517">
        <v>3794.53</v>
      </c>
      <c r="K25" s="76">
        <v>1537.78</v>
      </c>
      <c r="L25" s="76">
        <v>1498.66</v>
      </c>
      <c r="M25" s="22"/>
      <c r="N25" s="19"/>
      <c r="O25" s="19"/>
      <c r="P25" s="19"/>
      <c r="Q25" s="19"/>
      <c r="R25" s="19"/>
      <c r="S25" s="19"/>
      <c r="T25" s="19"/>
    </row>
    <row r="26" spans="1:20" ht="15.75" customHeight="1">
      <c r="A26" s="2"/>
      <c r="B26" s="84" t="s">
        <v>208</v>
      </c>
      <c r="C26" s="84" t="s">
        <v>672</v>
      </c>
      <c r="D26" s="76">
        <v>50</v>
      </c>
      <c r="E26" s="76">
        <v>50</v>
      </c>
      <c r="F26" s="76">
        <v>50</v>
      </c>
      <c r="G26" s="76">
        <v>50</v>
      </c>
      <c r="H26" s="76">
        <v>50</v>
      </c>
      <c r="I26" s="76">
        <v>50</v>
      </c>
      <c r="J26" s="517">
        <v>72.3</v>
      </c>
      <c r="K26" s="76">
        <v>49.29</v>
      </c>
      <c r="L26" s="76">
        <v>0</v>
      </c>
      <c r="M26" s="22"/>
      <c r="N26" s="19"/>
      <c r="O26" s="19"/>
      <c r="P26" s="19"/>
      <c r="Q26" s="19"/>
      <c r="R26" s="19"/>
      <c r="S26" s="19"/>
      <c r="T26" s="19"/>
    </row>
    <row r="27" spans="1:20" ht="15.75" customHeight="1">
      <c r="A27" s="338">
        <v>61585</v>
      </c>
      <c r="B27" s="84" t="s">
        <v>422</v>
      </c>
      <c r="C27" s="84" t="s">
        <v>673</v>
      </c>
      <c r="D27" s="76">
        <v>2300</v>
      </c>
      <c r="E27" s="76">
        <v>2300</v>
      </c>
      <c r="F27" s="76">
        <v>61885</v>
      </c>
      <c r="G27" s="76">
        <v>300</v>
      </c>
      <c r="H27" s="76">
        <v>300</v>
      </c>
      <c r="I27" s="76">
        <v>23918</v>
      </c>
      <c r="J27" s="517">
        <v>35310.79</v>
      </c>
      <c r="K27" s="76">
        <v>4818.93</v>
      </c>
      <c r="L27" s="76">
        <v>3380.53</v>
      </c>
      <c r="M27" s="22"/>
      <c r="N27" s="19"/>
      <c r="O27" s="19"/>
      <c r="P27" s="19"/>
      <c r="Q27" s="19"/>
      <c r="R27" s="19"/>
      <c r="S27" s="19"/>
      <c r="T27" s="19"/>
    </row>
    <row r="28" spans="1:20" ht="15.75" customHeight="1">
      <c r="A28" s="2"/>
      <c r="B28" s="84" t="s">
        <v>674</v>
      </c>
      <c r="C28" s="84" t="s">
        <v>675</v>
      </c>
      <c r="D28" s="76">
        <v>500</v>
      </c>
      <c r="E28" s="76">
        <v>500</v>
      </c>
      <c r="F28" s="76">
        <v>250</v>
      </c>
      <c r="G28" s="76">
        <v>250</v>
      </c>
      <c r="H28" s="76">
        <v>0</v>
      </c>
      <c r="I28" s="76">
        <v>3000</v>
      </c>
      <c r="J28" s="517">
        <v>175.9</v>
      </c>
      <c r="K28" s="76">
        <v>648.16</v>
      </c>
      <c r="L28" s="76">
        <v>228.9</v>
      </c>
      <c r="M28" s="22"/>
      <c r="N28" s="19"/>
      <c r="O28" s="19"/>
      <c r="P28" s="19"/>
      <c r="Q28" s="19"/>
      <c r="R28" s="19"/>
      <c r="S28" s="19"/>
      <c r="T28" s="19"/>
    </row>
    <row r="29" spans="1:20" ht="15.75" customHeight="1">
      <c r="A29" s="2"/>
      <c r="B29" s="252" t="s">
        <v>676</v>
      </c>
      <c r="C29" s="84" t="s">
        <v>677</v>
      </c>
      <c r="D29" s="76">
        <v>0</v>
      </c>
      <c r="E29" s="76">
        <v>0</v>
      </c>
      <c r="F29" s="76"/>
      <c r="G29" s="76"/>
      <c r="H29" s="76"/>
      <c r="I29" s="76"/>
      <c r="J29" s="517">
        <v>904.66</v>
      </c>
      <c r="K29" s="76"/>
      <c r="L29" s="76"/>
      <c r="M29" s="22"/>
      <c r="N29" s="19"/>
      <c r="O29" s="19"/>
      <c r="P29" s="19"/>
      <c r="Q29" s="19"/>
      <c r="R29" s="19"/>
      <c r="S29" s="19"/>
      <c r="T29" s="19"/>
    </row>
    <row r="30" spans="1:20" ht="15.75" customHeight="1">
      <c r="A30" s="2"/>
      <c r="B30" s="84" t="s">
        <v>169</v>
      </c>
      <c r="C30" s="84" t="s">
        <v>678</v>
      </c>
      <c r="D30" s="76">
        <v>25</v>
      </c>
      <c r="E30" s="76">
        <v>25</v>
      </c>
      <c r="F30" s="76">
        <v>25</v>
      </c>
      <c r="G30" s="76">
        <v>25</v>
      </c>
      <c r="H30" s="76">
        <v>25</v>
      </c>
      <c r="I30" s="76">
        <v>200</v>
      </c>
      <c r="J30" s="517">
        <v>174.3</v>
      </c>
      <c r="K30" s="76">
        <v>136.32</v>
      </c>
      <c r="L30" s="76">
        <v>99.22</v>
      </c>
      <c r="M30" s="22"/>
      <c r="N30" s="19"/>
      <c r="O30" s="19"/>
      <c r="P30" s="19"/>
      <c r="Q30" s="19"/>
      <c r="R30" s="19"/>
      <c r="S30" s="19"/>
      <c r="T30" s="19"/>
    </row>
    <row r="31" spans="1:20" ht="15.75" customHeight="1">
      <c r="A31" s="2"/>
      <c r="B31" s="84" t="s">
        <v>656</v>
      </c>
      <c r="C31" s="84" t="s">
        <v>679</v>
      </c>
      <c r="D31" s="293" t="s">
        <v>517</v>
      </c>
      <c r="E31" s="293" t="s">
        <v>517</v>
      </c>
      <c r="F31" s="76">
        <v>0</v>
      </c>
      <c r="G31" s="76">
        <v>0</v>
      </c>
      <c r="H31" s="76">
        <v>0</v>
      </c>
      <c r="I31" s="76">
        <v>1680</v>
      </c>
      <c r="J31" s="517">
        <v>176.4</v>
      </c>
      <c r="K31" s="76">
        <v>769.02</v>
      </c>
      <c r="L31" s="76">
        <v>0</v>
      </c>
      <c r="M31" s="22"/>
      <c r="N31" s="19"/>
      <c r="O31" s="19"/>
      <c r="P31" s="19"/>
      <c r="Q31" s="19"/>
      <c r="R31" s="19"/>
      <c r="S31" s="19"/>
      <c r="T31" s="19"/>
    </row>
    <row r="32" spans="1:20" ht="15.75" customHeight="1">
      <c r="A32" s="2"/>
      <c r="B32" s="84" t="s">
        <v>594</v>
      </c>
      <c r="C32" s="84" t="s">
        <v>680</v>
      </c>
      <c r="D32" s="76">
        <v>2000</v>
      </c>
      <c r="E32" s="76">
        <v>2000</v>
      </c>
      <c r="F32" s="76">
        <v>3000</v>
      </c>
      <c r="G32" s="76">
        <v>3000</v>
      </c>
      <c r="H32" s="76">
        <v>14700</v>
      </c>
      <c r="I32" s="76">
        <v>3000</v>
      </c>
      <c r="J32" s="517">
        <v>3550.1</v>
      </c>
      <c r="K32" s="76">
        <v>6704.86</v>
      </c>
      <c r="L32" s="76">
        <f>5354.86+269.02</f>
        <v>5623.8799999999992</v>
      </c>
      <c r="M32" s="22"/>
      <c r="N32" s="19"/>
      <c r="O32" s="19"/>
      <c r="P32" s="19"/>
      <c r="Q32" s="19"/>
      <c r="R32" s="19"/>
      <c r="S32" s="19"/>
      <c r="T32" s="19"/>
    </row>
    <row r="33" spans="1:20" ht="15.75" customHeight="1">
      <c r="A33" s="2"/>
      <c r="B33" s="84" t="s">
        <v>368</v>
      </c>
      <c r="C33" s="84" t="s">
        <v>681</v>
      </c>
      <c r="D33" s="76"/>
      <c r="E33" s="76"/>
      <c r="F33" s="76">
        <v>2500</v>
      </c>
      <c r="G33" s="76">
        <v>2500</v>
      </c>
      <c r="H33" s="76">
        <v>2500</v>
      </c>
      <c r="I33" s="76">
        <v>4000</v>
      </c>
      <c r="J33" s="517">
        <v>1749</v>
      </c>
      <c r="K33" s="76">
        <v>3509.02</v>
      </c>
      <c r="L33" s="76">
        <v>3097.42</v>
      </c>
      <c r="M33" s="22"/>
      <c r="N33" s="19"/>
      <c r="O33" s="19"/>
      <c r="P33" s="19"/>
      <c r="Q33" s="19"/>
      <c r="R33" s="19"/>
      <c r="S33" s="19"/>
      <c r="T33" s="19"/>
    </row>
    <row r="34" spans="1:20" ht="15.75" customHeight="1">
      <c r="A34" s="2"/>
      <c r="B34" s="84" t="s">
        <v>682</v>
      </c>
      <c r="C34" s="84" t="s">
        <v>683</v>
      </c>
      <c r="D34" s="76">
        <v>500</v>
      </c>
      <c r="E34" s="76">
        <v>500</v>
      </c>
      <c r="F34" s="76">
        <v>500</v>
      </c>
      <c r="G34" s="76">
        <v>500</v>
      </c>
      <c r="H34" s="76">
        <v>300</v>
      </c>
      <c r="I34" s="76">
        <v>0</v>
      </c>
      <c r="J34" s="517">
        <v>388.14</v>
      </c>
      <c r="K34" s="76">
        <v>0</v>
      </c>
      <c r="L34" s="76">
        <v>0</v>
      </c>
      <c r="M34" s="22"/>
      <c r="N34" s="19"/>
      <c r="O34" s="19"/>
      <c r="P34" s="19"/>
      <c r="Q34" s="19"/>
      <c r="R34" s="19"/>
      <c r="S34" s="19"/>
      <c r="T34" s="19"/>
    </row>
    <row r="35" spans="1:20" ht="15.75" customHeight="1">
      <c r="A35" s="2"/>
      <c r="B35" s="84" t="s">
        <v>216</v>
      </c>
      <c r="C35" s="84" t="s">
        <v>684</v>
      </c>
      <c r="D35" s="76">
        <v>300</v>
      </c>
      <c r="E35" s="76">
        <v>300</v>
      </c>
      <c r="F35" s="76">
        <v>1000</v>
      </c>
      <c r="G35" s="76">
        <v>1000</v>
      </c>
      <c r="H35" s="76">
        <v>1000</v>
      </c>
      <c r="I35" s="76">
        <v>200</v>
      </c>
      <c r="J35" s="517">
        <v>261.95999999999998</v>
      </c>
      <c r="K35" s="76">
        <v>386.62</v>
      </c>
      <c r="L35" s="76">
        <v>386.62</v>
      </c>
      <c r="M35" s="22"/>
      <c r="N35" s="19"/>
      <c r="O35" s="19"/>
      <c r="P35" s="19"/>
      <c r="Q35" s="19"/>
      <c r="R35" s="19"/>
      <c r="S35" s="19"/>
      <c r="T35" s="19"/>
    </row>
    <row r="36" spans="1:20" ht="15.75" customHeight="1">
      <c r="A36" s="2"/>
      <c r="B36" s="84" t="s">
        <v>685</v>
      </c>
      <c r="C36" s="84" t="s">
        <v>686</v>
      </c>
      <c r="D36" s="76">
        <v>1500</v>
      </c>
      <c r="E36" s="76">
        <v>1500</v>
      </c>
      <c r="F36" s="76">
        <v>2000</v>
      </c>
      <c r="G36" s="76">
        <v>2000</v>
      </c>
      <c r="H36" s="76">
        <v>2000</v>
      </c>
      <c r="I36" s="84" t="s">
        <v>44</v>
      </c>
      <c r="J36" s="517"/>
      <c r="K36" s="76">
        <v>2694.66</v>
      </c>
      <c r="L36" s="76">
        <v>2524.7600000000002</v>
      </c>
      <c r="M36" s="22"/>
      <c r="N36" s="19"/>
      <c r="O36" s="19"/>
      <c r="P36" s="19"/>
      <c r="Q36" s="19"/>
      <c r="R36" s="19"/>
      <c r="S36" s="19"/>
      <c r="T36" s="19"/>
    </row>
    <row r="37" spans="1:20" ht="15.75" customHeight="1">
      <c r="A37" s="2"/>
      <c r="B37" s="84" t="s">
        <v>687</v>
      </c>
      <c r="C37" s="84" t="s">
        <v>688</v>
      </c>
      <c r="D37" s="293" t="s">
        <v>44</v>
      </c>
      <c r="E37" s="293" t="s">
        <v>44</v>
      </c>
      <c r="F37" s="76">
        <v>1000</v>
      </c>
      <c r="G37" s="76">
        <v>1000</v>
      </c>
      <c r="H37" s="76">
        <v>0</v>
      </c>
      <c r="I37" s="76">
        <v>4500</v>
      </c>
      <c r="J37" s="517">
        <v>739.57</v>
      </c>
      <c r="K37" s="76">
        <v>3414.06</v>
      </c>
      <c r="L37" s="76">
        <v>0</v>
      </c>
      <c r="M37" s="22"/>
      <c r="N37" s="19"/>
      <c r="O37" s="19"/>
      <c r="P37" s="19"/>
      <c r="Q37" s="19"/>
      <c r="R37" s="19"/>
      <c r="S37" s="19"/>
      <c r="T37" s="19"/>
    </row>
    <row r="38" spans="1:20" ht="15.75" customHeight="1">
      <c r="A38" s="2"/>
      <c r="B38" s="84" t="s">
        <v>241</v>
      </c>
      <c r="C38" s="84" t="s">
        <v>689</v>
      </c>
      <c r="D38" s="293" t="s">
        <v>517</v>
      </c>
      <c r="E38" s="293" t="s">
        <v>517</v>
      </c>
      <c r="F38" s="76">
        <v>200</v>
      </c>
      <c r="G38" s="76">
        <v>200</v>
      </c>
      <c r="H38" s="76">
        <v>200</v>
      </c>
      <c r="I38" s="76">
        <v>2200</v>
      </c>
      <c r="J38" s="517"/>
      <c r="K38" s="76">
        <v>0</v>
      </c>
      <c r="L38" s="76">
        <v>0</v>
      </c>
      <c r="M38" s="22"/>
      <c r="N38" s="19"/>
      <c r="O38" s="19"/>
      <c r="P38" s="19"/>
      <c r="Q38" s="19"/>
      <c r="R38" s="19"/>
      <c r="S38" s="19"/>
      <c r="T38" s="19"/>
    </row>
    <row r="39" spans="1:20" ht="15.75" customHeight="1">
      <c r="A39" s="2"/>
      <c r="B39" s="84" t="s">
        <v>690</v>
      </c>
      <c r="C39" s="84" t="s">
        <v>691</v>
      </c>
      <c r="D39" s="76">
        <v>20000</v>
      </c>
      <c r="E39" s="76">
        <v>20000</v>
      </c>
      <c r="F39" s="76"/>
      <c r="G39" s="76"/>
      <c r="H39" s="76"/>
      <c r="I39" s="76"/>
      <c r="J39" s="517">
        <v>1982.97</v>
      </c>
      <c r="K39" s="76"/>
      <c r="L39" s="76"/>
      <c r="M39" s="22"/>
      <c r="N39" s="19"/>
      <c r="O39" s="19"/>
      <c r="P39" s="19"/>
      <c r="Q39" s="19"/>
      <c r="R39" s="19"/>
      <c r="S39" s="19"/>
      <c r="T39" s="19"/>
    </row>
    <row r="40" spans="1:20" ht="15.75" customHeight="1">
      <c r="A40" s="2"/>
      <c r="B40" s="90" t="s">
        <v>692</v>
      </c>
      <c r="C40" s="90" t="s">
        <v>691</v>
      </c>
      <c r="D40" s="120">
        <v>2000</v>
      </c>
      <c r="E40" s="120">
        <v>2000</v>
      </c>
      <c r="F40" s="120"/>
      <c r="G40" s="120"/>
      <c r="H40" s="120"/>
      <c r="I40" s="120"/>
      <c r="J40" s="518">
        <v>1982.97</v>
      </c>
      <c r="K40" s="120"/>
      <c r="L40" s="120"/>
      <c r="M40" s="22"/>
      <c r="N40" s="19"/>
      <c r="O40" s="19"/>
      <c r="P40" s="19"/>
      <c r="Q40" s="19"/>
      <c r="R40" s="19"/>
      <c r="S40" s="19"/>
      <c r="T40" s="19"/>
    </row>
    <row r="41" spans="1:20" ht="15.75" customHeight="1">
      <c r="A41" s="2"/>
      <c r="B41" s="54" t="s">
        <v>693</v>
      </c>
      <c r="C41" s="317"/>
      <c r="D41" s="41">
        <f t="shared" ref="D41" si="2">SUM(D22:D40)</f>
        <v>125895</v>
      </c>
      <c r="E41" s="41">
        <f t="shared" ref="E41:L41" si="3">SUM(E22:E40)</f>
        <v>125895</v>
      </c>
      <c r="F41" s="41">
        <f t="shared" si="3"/>
        <v>206020</v>
      </c>
      <c r="G41" s="41">
        <f t="shared" si="3"/>
        <v>144435</v>
      </c>
      <c r="H41" s="41">
        <f t="shared" si="3"/>
        <v>191243</v>
      </c>
      <c r="I41" s="41">
        <f t="shared" si="3"/>
        <v>189048</v>
      </c>
      <c r="J41" s="504">
        <f t="shared" si="3"/>
        <v>341087.05</v>
      </c>
      <c r="K41" s="41">
        <f t="shared" si="3"/>
        <v>293604.28999999992</v>
      </c>
      <c r="L41" s="41">
        <f t="shared" si="3"/>
        <v>239060.34000000003</v>
      </c>
      <c r="M41" s="22"/>
      <c r="N41" s="19"/>
      <c r="O41" s="19"/>
      <c r="P41" s="19"/>
      <c r="Q41" s="19"/>
      <c r="R41" s="19"/>
      <c r="S41" s="19"/>
      <c r="T41" s="19"/>
    </row>
    <row r="42" spans="1:20" ht="15.75" customHeight="1">
      <c r="A42" s="2"/>
      <c r="B42" s="171" t="s">
        <v>694</v>
      </c>
      <c r="C42" s="311"/>
      <c r="D42" s="70"/>
      <c r="E42" s="70"/>
      <c r="F42" s="70"/>
      <c r="G42" s="70"/>
      <c r="H42" s="70"/>
      <c r="I42" s="70"/>
      <c r="J42" s="517"/>
      <c r="K42" s="70"/>
      <c r="L42" s="70"/>
      <c r="M42" s="22"/>
      <c r="N42" s="19"/>
      <c r="O42" s="19"/>
      <c r="P42" s="19"/>
      <c r="Q42" s="19"/>
      <c r="R42" s="19"/>
      <c r="S42" s="19"/>
      <c r="T42" s="19"/>
    </row>
    <row r="43" spans="1:20" ht="15.75" customHeight="1">
      <c r="A43" s="2"/>
      <c r="B43" s="84" t="s">
        <v>360</v>
      </c>
      <c r="C43" s="84" t="s">
        <v>695</v>
      </c>
      <c r="D43" s="76">
        <v>133520</v>
      </c>
      <c r="E43" s="76">
        <v>133520</v>
      </c>
      <c r="F43" s="76">
        <v>25000</v>
      </c>
      <c r="G43" s="76">
        <v>25000</v>
      </c>
      <c r="H43" s="76"/>
      <c r="I43" s="76"/>
      <c r="J43" s="517"/>
      <c r="K43" s="76"/>
      <c r="L43" s="76"/>
      <c r="M43" s="22"/>
      <c r="N43" s="19"/>
      <c r="O43" s="19"/>
      <c r="P43" s="19"/>
      <c r="Q43" s="19"/>
      <c r="R43" s="19"/>
      <c r="S43" s="19"/>
      <c r="T43" s="19"/>
    </row>
    <row r="44" spans="1:20" ht="15.75" customHeight="1">
      <c r="A44" s="2"/>
      <c r="B44" s="84" t="s">
        <v>200</v>
      </c>
      <c r="C44" s="84" t="s">
        <v>696</v>
      </c>
      <c r="D44" s="76">
        <v>21420</v>
      </c>
      <c r="E44" s="76">
        <v>21420</v>
      </c>
      <c r="F44" s="76">
        <f>F43*0.12</f>
        <v>3000</v>
      </c>
      <c r="G44" s="76">
        <f>G43*0.12</f>
        <v>3000</v>
      </c>
      <c r="H44" s="76"/>
      <c r="I44" s="76"/>
      <c r="J44" s="517"/>
      <c r="K44" s="76"/>
      <c r="L44" s="76"/>
      <c r="M44" s="22"/>
      <c r="N44" s="19"/>
      <c r="O44" s="19"/>
      <c r="P44" s="19"/>
      <c r="Q44" s="19"/>
      <c r="R44" s="19"/>
      <c r="S44" s="19"/>
      <c r="T44" s="19"/>
    </row>
    <row r="45" spans="1:20" ht="15.75" customHeight="1">
      <c r="A45" s="2"/>
      <c r="B45" s="304"/>
      <c r="C45" s="22"/>
      <c r="D45" s="74"/>
      <c r="E45" s="74"/>
      <c r="F45" s="76"/>
      <c r="G45" s="76"/>
      <c r="H45" s="76"/>
      <c r="I45" s="76"/>
      <c r="J45" s="517"/>
      <c r="K45" s="76"/>
      <c r="L45" s="76"/>
      <c r="M45" s="22"/>
      <c r="N45" s="19"/>
      <c r="O45" s="19"/>
      <c r="P45" s="19"/>
      <c r="Q45" s="19"/>
      <c r="R45" s="19"/>
      <c r="S45" s="19"/>
      <c r="T45" s="19"/>
    </row>
    <row r="46" spans="1:20" ht="15.75" customHeight="1">
      <c r="A46" s="2"/>
      <c r="B46" s="84" t="s">
        <v>206</v>
      </c>
      <c r="C46" s="84" t="s">
        <v>697</v>
      </c>
      <c r="D46" s="76">
        <v>500</v>
      </c>
      <c r="E46" s="76">
        <v>500</v>
      </c>
      <c r="F46" s="76">
        <v>200</v>
      </c>
      <c r="G46" s="76">
        <v>200</v>
      </c>
      <c r="H46" s="76"/>
      <c r="I46" s="76"/>
      <c r="J46" s="517"/>
      <c r="K46" s="76"/>
      <c r="L46" s="76"/>
      <c r="M46" s="22"/>
      <c r="N46" s="19"/>
      <c r="O46" s="19"/>
      <c r="P46" s="19"/>
      <c r="Q46" s="19"/>
      <c r="R46" s="19"/>
      <c r="S46" s="19"/>
      <c r="T46" s="19"/>
    </row>
    <row r="47" spans="1:20" ht="15.75" customHeight="1">
      <c r="A47" s="2"/>
      <c r="B47" s="84" t="s">
        <v>208</v>
      </c>
      <c r="C47" s="84" t="s">
        <v>698</v>
      </c>
      <c r="D47" s="76">
        <v>125</v>
      </c>
      <c r="E47" s="76">
        <v>125</v>
      </c>
      <c r="F47" s="76">
        <v>50</v>
      </c>
      <c r="G47" s="76">
        <v>50</v>
      </c>
      <c r="H47" s="76"/>
      <c r="I47" s="76"/>
      <c r="J47" s="517"/>
      <c r="K47" s="76"/>
      <c r="L47" s="76"/>
      <c r="M47" s="22"/>
      <c r="N47" s="19"/>
      <c r="O47" s="19"/>
      <c r="P47" s="19"/>
      <c r="Q47" s="19"/>
      <c r="R47" s="19"/>
      <c r="S47" s="19"/>
      <c r="T47" s="19"/>
    </row>
    <row r="48" spans="1:20" ht="15.75" customHeight="1">
      <c r="A48" s="2"/>
      <c r="B48" s="84" t="s">
        <v>422</v>
      </c>
      <c r="C48" s="84" t="s">
        <v>699</v>
      </c>
      <c r="D48" s="76">
        <v>3245</v>
      </c>
      <c r="E48" s="76">
        <v>3245</v>
      </c>
      <c r="F48" s="76"/>
      <c r="G48" s="76"/>
      <c r="H48" s="76"/>
      <c r="I48" s="76"/>
      <c r="J48" s="517">
        <v>50</v>
      </c>
      <c r="K48" s="76"/>
      <c r="L48" s="76"/>
      <c r="M48" s="22"/>
      <c r="N48" s="19"/>
      <c r="O48" s="19"/>
      <c r="P48" s="19"/>
      <c r="Q48" s="19"/>
      <c r="R48" s="19"/>
      <c r="S48" s="19"/>
      <c r="T48" s="19"/>
    </row>
    <row r="49" spans="1:20" ht="15.75" customHeight="1">
      <c r="A49" s="2"/>
      <c r="B49" s="84" t="s">
        <v>594</v>
      </c>
      <c r="C49" s="84" t="s">
        <v>700</v>
      </c>
      <c r="D49" s="76">
        <v>2000</v>
      </c>
      <c r="E49" s="76">
        <v>2000</v>
      </c>
      <c r="F49" s="76">
        <v>750</v>
      </c>
      <c r="G49" s="76">
        <v>750</v>
      </c>
      <c r="H49" s="76"/>
      <c r="I49" s="76"/>
      <c r="J49" s="517"/>
      <c r="K49" s="76"/>
      <c r="L49" s="76"/>
      <c r="M49" s="22"/>
      <c r="N49" s="19"/>
      <c r="O49" s="19"/>
      <c r="P49" s="19"/>
      <c r="Q49" s="19"/>
      <c r="R49" s="19"/>
      <c r="S49" s="19"/>
      <c r="T49" s="19"/>
    </row>
    <row r="50" spans="1:20" ht="15.75" customHeight="1">
      <c r="A50" s="2"/>
      <c r="B50" s="84" t="s">
        <v>368</v>
      </c>
      <c r="C50" s="84" t="s">
        <v>701</v>
      </c>
      <c r="D50" s="76">
        <v>1250</v>
      </c>
      <c r="E50" s="76">
        <v>1250</v>
      </c>
      <c r="F50" s="76">
        <v>1500</v>
      </c>
      <c r="G50" s="76">
        <v>1500</v>
      </c>
      <c r="H50" s="76"/>
      <c r="I50" s="76"/>
      <c r="J50" s="517"/>
      <c r="K50" s="76"/>
      <c r="L50" s="76"/>
      <c r="M50" s="22"/>
      <c r="N50" s="19"/>
      <c r="O50" s="19"/>
      <c r="P50" s="19"/>
      <c r="Q50" s="19"/>
      <c r="R50" s="19"/>
      <c r="S50" s="19"/>
      <c r="T50" s="19"/>
    </row>
    <row r="51" spans="1:20" ht="15.75" customHeight="1">
      <c r="A51" s="2"/>
      <c r="B51" s="84" t="s">
        <v>276</v>
      </c>
      <c r="C51" s="84" t="s">
        <v>702</v>
      </c>
      <c r="D51" s="76">
        <v>250</v>
      </c>
      <c r="E51" s="76">
        <v>250</v>
      </c>
      <c r="F51" s="76"/>
      <c r="G51" s="76"/>
      <c r="H51" s="76"/>
      <c r="I51" s="76"/>
      <c r="J51" s="517"/>
      <c r="K51" s="76"/>
      <c r="L51" s="76"/>
      <c r="M51" s="22"/>
      <c r="N51" s="19"/>
      <c r="O51" s="19"/>
      <c r="P51" s="19"/>
      <c r="Q51" s="19"/>
      <c r="R51" s="19"/>
      <c r="S51" s="19"/>
      <c r="T51" s="19"/>
    </row>
    <row r="52" spans="1:20" ht="15.75" customHeight="1">
      <c r="A52" s="2"/>
      <c r="B52" s="84" t="s">
        <v>685</v>
      </c>
      <c r="C52" s="84" t="s">
        <v>703</v>
      </c>
      <c r="D52" s="76">
        <v>750</v>
      </c>
      <c r="E52" s="76">
        <v>750</v>
      </c>
      <c r="F52" s="76">
        <v>750</v>
      </c>
      <c r="G52" s="76">
        <v>750</v>
      </c>
      <c r="H52" s="76"/>
      <c r="I52" s="76"/>
      <c r="J52" s="517"/>
      <c r="K52" s="76"/>
      <c r="L52" s="76"/>
      <c r="M52" s="22"/>
      <c r="N52" s="19"/>
      <c r="O52" s="19"/>
      <c r="P52" s="19"/>
      <c r="Q52" s="19"/>
      <c r="R52" s="19"/>
      <c r="S52" s="19"/>
      <c r="T52" s="19"/>
    </row>
    <row r="53" spans="1:20" ht="15.75" customHeight="1">
      <c r="A53" s="2"/>
      <c r="B53" s="84" t="s">
        <v>687</v>
      </c>
      <c r="C53" s="84" t="s">
        <v>704</v>
      </c>
      <c r="D53" s="76">
        <v>0</v>
      </c>
      <c r="E53" s="76">
        <v>0</v>
      </c>
      <c r="F53" s="76">
        <v>500</v>
      </c>
      <c r="G53" s="76">
        <v>500</v>
      </c>
      <c r="H53" s="76"/>
      <c r="I53" s="76"/>
      <c r="J53" s="517"/>
      <c r="K53" s="76"/>
      <c r="L53" s="76"/>
      <c r="M53" s="22"/>
      <c r="N53" s="19"/>
      <c r="O53" s="19"/>
      <c r="P53" s="19"/>
      <c r="Q53" s="19"/>
      <c r="R53" s="19"/>
      <c r="S53" s="19"/>
      <c r="T53" s="19"/>
    </row>
    <row r="54" spans="1:20" ht="15.75" customHeight="1">
      <c r="A54" s="2"/>
      <c r="B54" s="84" t="s">
        <v>705</v>
      </c>
      <c r="C54" s="84" t="s">
        <v>706</v>
      </c>
      <c r="D54" s="76">
        <v>0</v>
      </c>
      <c r="E54" s="76">
        <v>0</v>
      </c>
      <c r="F54" s="76">
        <v>500</v>
      </c>
      <c r="G54" s="76">
        <v>500</v>
      </c>
      <c r="H54" s="76"/>
      <c r="I54" s="76"/>
      <c r="J54" s="517"/>
      <c r="K54" s="76"/>
      <c r="L54" s="76"/>
      <c r="M54" s="22"/>
      <c r="N54" s="19"/>
      <c r="O54" s="19"/>
      <c r="P54" s="19"/>
      <c r="Q54" s="19"/>
      <c r="R54" s="19"/>
      <c r="S54" s="19"/>
      <c r="T54" s="19"/>
    </row>
    <row r="55" spans="1:20" ht="15.75" customHeight="1">
      <c r="A55" s="2"/>
      <c r="B55" s="90" t="s">
        <v>707</v>
      </c>
      <c r="C55" s="90" t="s">
        <v>708</v>
      </c>
      <c r="D55" s="120">
        <v>1500</v>
      </c>
      <c r="E55" s="120">
        <v>1500</v>
      </c>
      <c r="F55" s="120"/>
      <c r="G55" s="120">
        <v>1500</v>
      </c>
      <c r="H55" s="120"/>
      <c r="I55" s="120"/>
      <c r="J55" s="518"/>
      <c r="K55" s="120"/>
      <c r="L55" s="120"/>
      <c r="M55" s="22"/>
      <c r="N55" s="19"/>
      <c r="O55" s="19"/>
      <c r="P55" s="19"/>
      <c r="Q55" s="19"/>
      <c r="R55" s="19"/>
      <c r="S55" s="19"/>
      <c r="T55" s="19"/>
    </row>
    <row r="56" spans="1:20" ht="15.75" customHeight="1">
      <c r="A56" s="2"/>
      <c r="B56" s="54" t="s">
        <v>693</v>
      </c>
      <c r="C56" s="339"/>
      <c r="D56" s="340">
        <f>SUM(D43:D55)</f>
        <v>164560</v>
      </c>
      <c r="E56" s="340">
        <f>SUM(E43:E55)</f>
        <v>164560</v>
      </c>
      <c r="F56" s="340">
        <f>SUM(F43:F54)</f>
        <v>32250</v>
      </c>
      <c r="G56" s="340">
        <f>SUM(G43:G55)</f>
        <v>33750</v>
      </c>
      <c r="H56" s="340">
        <f>SUM(H43:H54)</f>
        <v>0</v>
      </c>
      <c r="I56" s="340">
        <f>SUM(I43:I54)</f>
        <v>0</v>
      </c>
      <c r="J56" s="520">
        <f>SUM(J43:J55)</f>
        <v>50</v>
      </c>
      <c r="K56" s="340">
        <f>SUM(K43:K54)</f>
        <v>0</v>
      </c>
      <c r="L56" s="340">
        <f>SUM(L43:L54)</f>
        <v>0</v>
      </c>
      <c r="M56" s="22"/>
      <c r="N56" s="19"/>
      <c r="O56" s="19"/>
      <c r="P56" s="19"/>
      <c r="Q56" s="19"/>
      <c r="R56" s="19"/>
      <c r="S56" s="19"/>
      <c r="T56" s="19"/>
    </row>
    <row r="57" spans="1:20" ht="15.75" customHeight="1">
      <c r="A57" s="19"/>
      <c r="B57" s="3"/>
      <c r="C57" s="3"/>
      <c r="D57" s="435"/>
      <c r="E57" s="3"/>
      <c r="F57" s="3"/>
      <c r="G57" s="3"/>
      <c r="H57" s="3"/>
      <c r="I57" s="167"/>
      <c r="J57" s="521"/>
      <c r="K57" s="3"/>
      <c r="L57" s="3"/>
      <c r="M57" s="19"/>
      <c r="N57" s="19"/>
      <c r="O57" s="19"/>
      <c r="P57" s="19"/>
      <c r="Q57" s="19"/>
      <c r="R57" s="19"/>
      <c r="S57" s="19"/>
      <c r="T57" s="19"/>
    </row>
    <row r="58" spans="1:20" ht="15.75" customHeight="1">
      <c r="A58" s="2"/>
      <c r="B58" s="252" t="s">
        <v>709</v>
      </c>
      <c r="C58" s="7"/>
      <c r="D58" s="134"/>
      <c r="E58" s="134"/>
      <c r="F58" s="134"/>
      <c r="G58" s="134"/>
      <c r="H58" s="134"/>
      <c r="I58" s="134"/>
      <c r="J58" s="517"/>
      <c r="K58" s="76"/>
      <c r="L58" s="134"/>
      <c r="M58" s="22"/>
      <c r="N58" s="19"/>
      <c r="O58" s="19"/>
      <c r="P58" s="19"/>
      <c r="Q58" s="19"/>
      <c r="R58" s="19"/>
      <c r="S58" s="19"/>
      <c r="T58" s="19"/>
    </row>
    <row r="59" spans="1:20" ht="15.75" customHeight="1">
      <c r="A59" s="2"/>
      <c r="B59" s="84" t="s">
        <v>360</v>
      </c>
      <c r="C59" s="84" t="s">
        <v>710</v>
      </c>
      <c r="D59" s="76">
        <v>59120</v>
      </c>
      <c r="E59" s="76">
        <v>59120</v>
      </c>
      <c r="F59" s="76">
        <f t="shared" ref="F59:G59" si="4">45000</f>
        <v>45000</v>
      </c>
      <c r="G59" s="76">
        <f t="shared" si="4"/>
        <v>45000</v>
      </c>
      <c r="H59" s="76">
        <v>54220</v>
      </c>
      <c r="I59" s="76">
        <v>4000</v>
      </c>
      <c r="J59" s="517"/>
      <c r="K59" s="76">
        <v>0</v>
      </c>
      <c r="L59" s="76">
        <v>0</v>
      </c>
      <c r="M59" s="22"/>
      <c r="N59" s="19"/>
      <c r="O59" s="19"/>
      <c r="P59" s="19"/>
      <c r="Q59" s="19"/>
      <c r="R59" s="19"/>
      <c r="S59" s="19"/>
      <c r="T59" s="19"/>
    </row>
    <row r="60" spans="1:20" ht="15.75" customHeight="1">
      <c r="A60" s="2"/>
      <c r="B60" s="84" t="s">
        <v>200</v>
      </c>
      <c r="C60" s="84" t="s">
        <v>711</v>
      </c>
      <c r="D60" s="76">
        <v>14700</v>
      </c>
      <c r="E60" s="76">
        <v>14700</v>
      </c>
      <c r="F60" s="76">
        <f>F59*0.23</f>
        <v>10350</v>
      </c>
      <c r="G60" s="76">
        <f>G59*0.23</f>
        <v>10350</v>
      </c>
      <c r="H60" s="76">
        <v>9460</v>
      </c>
      <c r="I60" s="76">
        <v>3000</v>
      </c>
      <c r="J60" s="517">
        <v>479</v>
      </c>
      <c r="K60" s="76">
        <v>516.75</v>
      </c>
      <c r="L60" s="76">
        <v>0</v>
      </c>
      <c r="M60" s="22"/>
      <c r="N60" s="19"/>
      <c r="O60" s="19"/>
      <c r="P60" s="19"/>
      <c r="Q60" s="19"/>
      <c r="R60" s="19"/>
      <c r="S60" s="19"/>
      <c r="T60" s="19"/>
    </row>
    <row r="61" spans="1:20" ht="15.75" customHeight="1">
      <c r="A61" s="2"/>
      <c r="B61" s="84" t="s">
        <v>206</v>
      </c>
      <c r="C61" s="84" t="s">
        <v>712</v>
      </c>
      <c r="D61" s="76">
        <v>200</v>
      </c>
      <c r="E61" s="76">
        <v>200</v>
      </c>
      <c r="F61" s="76">
        <v>200</v>
      </c>
      <c r="G61" s="76">
        <v>200</v>
      </c>
      <c r="H61" s="76">
        <v>200</v>
      </c>
      <c r="I61" s="76">
        <v>0</v>
      </c>
      <c r="J61" s="517">
        <v>1522.89</v>
      </c>
      <c r="K61" s="76">
        <v>0</v>
      </c>
      <c r="L61" s="76">
        <v>0</v>
      </c>
      <c r="M61" s="22"/>
      <c r="N61" s="19"/>
      <c r="O61" s="19"/>
      <c r="P61" s="19"/>
      <c r="Q61" s="19"/>
      <c r="R61" s="19"/>
      <c r="S61" s="19"/>
      <c r="T61" s="19"/>
    </row>
    <row r="62" spans="1:20" ht="15.75" customHeight="1">
      <c r="A62" s="2"/>
      <c r="B62" s="84" t="s">
        <v>208</v>
      </c>
      <c r="C62" s="84" t="s">
        <v>713</v>
      </c>
      <c r="D62" s="76">
        <v>0</v>
      </c>
      <c r="E62" s="76">
        <v>0</v>
      </c>
      <c r="F62" s="76">
        <v>25</v>
      </c>
      <c r="G62" s="76">
        <v>25</v>
      </c>
      <c r="H62" s="76">
        <v>25</v>
      </c>
      <c r="I62" s="76">
        <v>0</v>
      </c>
      <c r="J62" s="517"/>
      <c r="K62" s="76">
        <v>0</v>
      </c>
      <c r="L62" s="76">
        <v>0</v>
      </c>
      <c r="M62" s="22"/>
      <c r="N62" s="19"/>
      <c r="O62" s="19"/>
      <c r="P62" s="19"/>
      <c r="Q62" s="19"/>
      <c r="R62" s="19"/>
      <c r="S62" s="19"/>
      <c r="T62" s="19"/>
    </row>
    <row r="63" spans="1:20" ht="15.75" customHeight="1">
      <c r="A63" s="2"/>
      <c r="B63" s="84" t="s">
        <v>422</v>
      </c>
      <c r="C63" s="84" t="s">
        <v>714</v>
      </c>
      <c r="D63" s="76">
        <v>0</v>
      </c>
      <c r="E63" s="76">
        <v>0</v>
      </c>
      <c r="F63" s="76">
        <v>100</v>
      </c>
      <c r="G63" s="76">
        <v>100</v>
      </c>
      <c r="H63" s="76">
        <v>100</v>
      </c>
      <c r="I63" s="76">
        <v>0</v>
      </c>
      <c r="J63" s="517">
        <v>339.83</v>
      </c>
      <c r="K63" s="76">
        <v>0</v>
      </c>
      <c r="L63" s="76">
        <v>0</v>
      </c>
      <c r="M63" s="22"/>
      <c r="N63" s="19"/>
      <c r="O63" s="19"/>
      <c r="P63" s="19"/>
      <c r="Q63" s="19"/>
      <c r="R63" s="19"/>
      <c r="S63" s="19"/>
      <c r="T63" s="19"/>
    </row>
    <row r="64" spans="1:20" ht="15.75" customHeight="1">
      <c r="A64" s="2"/>
      <c r="B64" s="84" t="s">
        <v>594</v>
      </c>
      <c r="C64" s="84" t="s">
        <v>715</v>
      </c>
      <c r="D64" s="76">
        <v>1000</v>
      </c>
      <c r="E64" s="76">
        <v>1000</v>
      </c>
      <c r="F64" s="76">
        <v>1500</v>
      </c>
      <c r="G64" s="76">
        <v>1500</v>
      </c>
      <c r="H64" s="76">
        <v>1680</v>
      </c>
      <c r="I64" s="76">
        <v>0</v>
      </c>
      <c r="J64" s="517">
        <v>70.069999999999993</v>
      </c>
      <c r="K64" s="76">
        <v>0</v>
      </c>
      <c r="L64" s="76">
        <v>0</v>
      </c>
      <c r="M64" s="22"/>
      <c r="N64" s="19"/>
      <c r="O64" s="19"/>
      <c r="P64" s="19"/>
      <c r="Q64" s="19"/>
      <c r="R64" s="19"/>
      <c r="S64" s="19"/>
      <c r="T64" s="19"/>
    </row>
    <row r="65" spans="1:20" ht="15.75" customHeight="1">
      <c r="A65" s="2"/>
      <c r="B65" s="84" t="s">
        <v>368</v>
      </c>
      <c r="C65" s="84" t="s">
        <v>716</v>
      </c>
      <c r="D65" s="76">
        <v>2500</v>
      </c>
      <c r="E65" s="76">
        <v>2500</v>
      </c>
      <c r="F65" s="76">
        <v>2500</v>
      </c>
      <c r="G65" s="76">
        <v>2500</v>
      </c>
      <c r="H65" s="76">
        <v>2500</v>
      </c>
      <c r="I65" s="76">
        <v>0</v>
      </c>
      <c r="J65" s="517">
        <v>1025.5899999999999</v>
      </c>
      <c r="K65" s="76">
        <v>187.85</v>
      </c>
      <c r="L65" s="76">
        <v>0</v>
      </c>
      <c r="M65" s="22"/>
      <c r="N65" s="19"/>
      <c r="O65" s="19"/>
      <c r="P65" s="19"/>
      <c r="Q65" s="19"/>
      <c r="R65" s="19"/>
      <c r="S65" s="19"/>
      <c r="T65" s="19"/>
    </row>
    <row r="66" spans="1:20" ht="15.75" customHeight="1">
      <c r="A66" s="2"/>
      <c r="B66" s="84" t="s">
        <v>276</v>
      </c>
      <c r="C66" s="84" t="s">
        <v>717</v>
      </c>
      <c r="D66" s="76">
        <v>250</v>
      </c>
      <c r="E66" s="76">
        <v>250</v>
      </c>
      <c r="F66" s="76">
        <v>1000</v>
      </c>
      <c r="G66" s="76">
        <v>1000</v>
      </c>
      <c r="H66" s="76">
        <v>1000</v>
      </c>
      <c r="I66" s="76">
        <v>0</v>
      </c>
      <c r="J66" s="517">
        <v>804.39</v>
      </c>
      <c r="K66" s="76">
        <v>0</v>
      </c>
      <c r="L66" s="76">
        <v>0</v>
      </c>
      <c r="M66" s="22"/>
      <c r="N66" s="19"/>
      <c r="O66" s="19"/>
      <c r="P66" s="19"/>
      <c r="Q66" s="19"/>
      <c r="R66" s="19"/>
      <c r="S66" s="19"/>
      <c r="T66" s="19"/>
    </row>
    <row r="67" spans="1:20" ht="15.75" customHeight="1">
      <c r="A67" s="2"/>
      <c r="B67" s="84" t="s">
        <v>685</v>
      </c>
      <c r="C67" s="84" t="s">
        <v>718</v>
      </c>
      <c r="D67" s="76">
        <v>1000</v>
      </c>
      <c r="E67" s="76">
        <v>1000</v>
      </c>
      <c r="F67" s="76">
        <v>2000</v>
      </c>
      <c r="G67" s="76">
        <v>2000</v>
      </c>
      <c r="H67" s="76">
        <v>2000</v>
      </c>
      <c r="I67" s="76">
        <v>0</v>
      </c>
      <c r="J67" s="517">
        <v>821.53</v>
      </c>
      <c r="K67" s="76">
        <v>1552.32</v>
      </c>
      <c r="L67" s="76">
        <v>1552.32</v>
      </c>
      <c r="M67" s="22"/>
      <c r="N67" s="19"/>
      <c r="O67" s="19"/>
      <c r="P67" s="19"/>
      <c r="Q67" s="19"/>
      <c r="R67" s="19"/>
      <c r="S67" s="19"/>
      <c r="T67" s="19"/>
    </row>
    <row r="68" spans="1:20" ht="15.75" customHeight="1">
      <c r="A68" s="2"/>
      <c r="B68" s="84" t="s">
        <v>687</v>
      </c>
      <c r="C68" s="84" t="s">
        <v>719</v>
      </c>
      <c r="D68" s="76">
        <v>2250</v>
      </c>
      <c r="E68" s="76">
        <v>2250</v>
      </c>
      <c r="F68" s="76">
        <v>1500</v>
      </c>
      <c r="G68" s="76">
        <v>1500</v>
      </c>
      <c r="H68" s="76">
        <v>4500</v>
      </c>
      <c r="I68" s="76">
        <v>0</v>
      </c>
      <c r="J68" s="517">
        <v>1193.98</v>
      </c>
      <c r="K68" s="76">
        <v>0</v>
      </c>
      <c r="L68" s="76">
        <v>0</v>
      </c>
      <c r="M68" s="22"/>
      <c r="N68" s="140"/>
      <c r="O68" s="140"/>
      <c r="P68" s="140"/>
      <c r="Q68" s="140"/>
      <c r="R68" s="140"/>
      <c r="S68" s="19"/>
      <c r="T68" s="19"/>
    </row>
    <row r="69" spans="1:20" ht="15.75" customHeight="1">
      <c r="A69" s="2"/>
      <c r="B69" s="84" t="s">
        <v>705</v>
      </c>
      <c r="C69" s="84" t="s">
        <v>720</v>
      </c>
      <c r="D69" s="76">
        <v>1500</v>
      </c>
      <c r="E69" s="76">
        <v>1500</v>
      </c>
      <c r="F69" s="76">
        <v>750</v>
      </c>
      <c r="G69" s="76">
        <v>750</v>
      </c>
      <c r="H69" s="76">
        <v>2500</v>
      </c>
      <c r="I69" s="76">
        <v>0</v>
      </c>
      <c r="J69" s="517">
        <v>138.13</v>
      </c>
      <c r="K69" s="76">
        <v>61.77</v>
      </c>
      <c r="L69" s="76">
        <v>3136.66</v>
      </c>
      <c r="M69" s="342"/>
      <c r="N69" s="143"/>
      <c r="O69" s="143"/>
      <c r="P69" s="143"/>
      <c r="Q69" s="143"/>
      <c r="R69" s="143"/>
      <c r="S69" s="161"/>
      <c r="T69" s="19"/>
    </row>
    <row r="70" spans="1:20" ht="15.75" customHeight="1">
      <c r="A70" s="2"/>
      <c r="B70" s="90" t="s">
        <v>707</v>
      </c>
      <c r="C70" s="90" t="s">
        <v>721</v>
      </c>
      <c r="D70" s="120">
        <v>4500</v>
      </c>
      <c r="E70" s="120">
        <v>4500</v>
      </c>
      <c r="F70" s="120">
        <v>3500</v>
      </c>
      <c r="G70" s="120">
        <v>3500</v>
      </c>
      <c r="H70" s="120">
        <v>4000</v>
      </c>
      <c r="I70" s="120">
        <v>0</v>
      </c>
      <c r="J70" s="518">
        <v>1771.81</v>
      </c>
      <c r="K70" s="120">
        <v>819.15</v>
      </c>
      <c r="L70" s="120">
        <f>606.27+36.9</f>
        <v>643.16999999999996</v>
      </c>
      <c r="M70" s="343"/>
      <c r="N70" s="143"/>
      <c r="O70" s="143"/>
      <c r="P70" s="143"/>
      <c r="Q70" s="143"/>
      <c r="R70" s="143"/>
      <c r="S70" s="161"/>
      <c r="T70" s="19"/>
    </row>
    <row r="71" spans="1:20" ht="15.75" customHeight="1">
      <c r="A71" s="2"/>
      <c r="B71" s="54" t="s">
        <v>693</v>
      </c>
      <c r="C71" s="339"/>
      <c r="D71" s="340">
        <f t="shared" ref="D71" si="5">SUM(D59:D70)</f>
        <v>87020</v>
      </c>
      <c r="E71" s="340">
        <f t="shared" ref="E71:L71" si="6">SUM(E59:E70)</f>
        <v>87020</v>
      </c>
      <c r="F71" s="340">
        <f t="shared" si="6"/>
        <v>68425</v>
      </c>
      <c r="G71" s="340">
        <f t="shared" si="6"/>
        <v>68425</v>
      </c>
      <c r="H71" s="340">
        <f t="shared" si="6"/>
        <v>82185</v>
      </c>
      <c r="I71" s="340">
        <f t="shared" si="6"/>
        <v>7000</v>
      </c>
      <c r="J71" s="520">
        <f t="shared" si="6"/>
        <v>8167.2200000000012</v>
      </c>
      <c r="K71" s="340">
        <f t="shared" si="6"/>
        <v>3137.84</v>
      </c>
      <c r="L71" s="340">
        <f t="shared" si="6"/>
        <v>5332.15</v>
      </c>
      <c r="M71" s="142"/>
      <c r="N71" s="344"/>
      <c r="O71" s="147"/>
      <c r="P71" s="147"/>
      <c r="Q71" s="147"/>
      <c r="R71" s="147"/>
      <c r="S71" s="19"/>
      <c r="T71" s="19"/>
    </row>
    <row r="72" spans="1:20" ht="15.75" customHeight="1">
      <c r="A72" s="2"/>
      <c r="B72" s="345" t="s">
        <v>722</v>
      </c>
      <c r="C72" s="167"/>
      <c r="D72" s="11"/>
      <c r="E72" s="11"/>
      <c r="F72" s="11"/>
      <c r="G72" s="11"/>
      <c r="H72" s="11"/>
      <c r="I72" s="11"/>
      <c r="J72" s="517"/>
      <c r="K72" s="70"/>
      <c r="L72" s="11"/>
      <c r="M72" s="146"/>
      <c r="N72" s="19"/>
      <c r="O72" s="19"/>
      <c r="P72" s="19"/>
      <c r="Q72" s="19"/>
      <c r="R72" s="19"/>
      <c r="S72" s="19"/>
      <c r="T72" s="19"/>
    </row>
    <row r="73" spans="1:20" ht="15.75" customHeight="1">
      <c r="A73" s="2"/>
      <c r="B73" s="84" t="s">
        <v>360</v>
      </c>
      <c r="C73" s="84" t="s">
        <v>723</v>
      </c>
      <c r="D73" s="76">
        <v>31200</v>
      </c>
      <c r="E73" s="76">
        <v>31200</v>
      </c>
      <c r="F73" s="76">
        <v>19200</v>
      </c>
      <c r="G73" s="76">
        <v>19200</v>
      </c>
      <c r="H73" s="76">
        <v>19200</v>
      </c>
      <c r="I73" s="76">
        <v>0</v>
      </c>
      <c r="J73" s="517"/>
      <c r="K73" s="76">
        <v>0</v>
      </c>
      <c r="L73" s="76">
        <v>0</v>
      </c>
      <c r="M73" s="22"/>
      <c r="N73" s="19"/>
      <c r="O73" s="19"/>
      <c r="P73" s="19"/>
      <c r="Q73" s="19"/>
      <c r="R73" s="19"/>
      <c r="S73" s="19"/>
      <c r="T73" s="19"/>
    </row>
    <row r="74" spans="1:20" ht="15.75" customHeight="1">
      <c r="A74" s="2"/>
      <c r="B74" s="84" t="s">
        <v>724</v>
      </c>
      <c r="C74" s="84" t="s">
        <v>725</v>
      </c>
      <c r="D74" s="76">
        <v>5268</v>
      </c>
      <c r="E74" s="76">
        <v>5268</v>
      </c>
      <c r="F74" s="76"/>
      <c r="G74" s="76"/>
      <c r="H74" s="76"/>
      <c r="I74" s="76"/>
      <c r="J74" s="517">
        <v>662.67</v>
      </c>
      <c r="K74" s="76"/>
      <c r="L74" s="76"/>
      <c r="M74" s="22"/>
      <c r="N74" s="19"/>
      <c r="O74" s="19"/>
      <c r="P74" s="19"/>
      <c r="Q74" s="19"/>
      <c r="R74" s="19"/>
      <c r="S74" s="19"/>
      <c r="T74" s="19"/>
    </row>
    <row r="75" spans="1:20" ht="15.75" customHeight="1">
      <c r="A75" s="2"/>
      <c r="B75" s="84" t="s">
        <v>206</v>
      </c>
      <c r="C75" s="84" t="s">
        <v>726</v>
      </c>
      <c r="D75" s="76">
        <v>200</v>
      </c>
      <c r="E75" s="76">
        <v>200</v>
      </c>
      <c r="F75" s="76">
        <v>300</v>
      </c>
      <c r="G75" s="76">
        <v>300</v>
      </c>
      <c r="H75" s="76">
        <v>300</v>
      </c>
      <c r="I75" s="76">
        <v>0</v>
      </c>
      <c r="J75" s="517">
        <v>402.66</v>
      </c>
      <c r="K75" s="76">
        <v>9.3000000000000007</v>
      </c>
      <c r="L75" s="76">
        <v>9.3000000000000007</v>
      </c>
      <c r="M75" s="22"/>
      <c r="N75" s="19"/>
      <c r="O75" s="19"/>
      <c r="P75" s="19"/>
      <c r="Q75" s="19"/>
      <c r="R75" s="19"/>
      <c r="S75" s="19"/>
      <c r="T75" s="19"/>
    </row>
    <row r="76" spans="1:20" ht="15.75" customHeight="1">
      <c r="A76" s="2"/>
      <c r="B76" s="84" t="s">
        <v>594</v>
      </c>
      <c r="C76" s="84" t="s">
        <v>680</v>
      </c>
      <c r="D76" s="76">
        <v>500</v>
      </c>
      <c r="E76" s="76">
        <v>500</v>
      </c>
      <c r="F76" s="76"/>
      <c r="G76" s="76"/>
      <c r="H76" s="76"/>
      <c r="I76" s="76"/>
      <c r="J76" s="517">
        <v>3550.1</v>
      </c>
      <c r="K76" s="76"/>
      <c r="L76" s="76"/>
      <c r="M76" s="22"/>
      <c r="N76" s="19"/>
      <c r="O76" s="19"/>
      <c r="P76" s="19"/>
      <c r="Q76" s="19"/>
      <c r="R76" s="19"/>
      <c r="S76" s="19"/>
      <c r="T76" s="19"/>
    </row>
    <row r="77" spans="1:20" ht="15.75" customHeight="1">
      <c r="A77" s="2"/>
      <c r="B77" s="84" t="s">
        <v>368</v>
      </c>
      <c r="C77" s="84" t="s">
        <v>727</v>
      </c>
      <c r="D77" s="76">
        <v>2000</v>
      </c>
      <c r="E77" s="76">
        <v>2000</v>
      </c>
      <c r="F77" s="76">
        <v>2000</v>
      </c>
      <c r="G77" s="76">
        <v>2000</v>
      </c>
      <c r="H77" s="76">
        <v>2000</v>
      </c>
      <c r="I77" s="76">
        <v>0</v>
      </c>
      <c r="J77" s="517">
        <v>1651.23</v>
      </c>
      <c r="K77" s="76">
        <v>40.380000000000003</v>
      </c>
      <c r="L77" s="76">
        <v>0</v>
      </c>
      <c r="M77" s="22"/>
      <c r="N77" s="19"/>
      <c r="O77" s="19"/>
      <c r="P77" s="19"/>
      <c r="Q77" s="19"/>
      <c r="R77" s="19"/>
      <c r="S77" s="19"/>
      <c r="T77" s="19"/>
    </row>
    <row r="78" spans="1:20" ht="15.75" customHeight="1">
      <c r="A78" s="2"/>
      <c r="B78" s="84" t="s">
        <v>685</v>
      </c>
      <c r="C78" s="84" t="s">
        <v>728</v>
      </c>
      <c r="D78" s="76">
        <v>1000</v>
      </c>
      <c r="E78" s="76">
        <v>1000</v>
      </c>
      <c r="F78" s="76">
        <v>2000</v>
      </c>
      <c r="G78" s="76">
        <v>2000</v>
      </c>
      <c r="H78" s="76">
        <v>2000</v>
      </c>
      <c r="I78" s="76">
        <v>0</v>
      </c>
      <c r="J78" s="517">
        <v>1830.36</v>
      </c>
      <c r="K78" s="76">
        <v>30.5</v>
      </c>
      <c r="L78" s="76">
        <v>393.75</v>
      </c>
      <c r="M78" s="22"/>
      <c r="N78" s="19"/>
      <c r="O78" s="19"/>
      <c r="P78" s="19"/>
      <c r="Q78" s="19"/>
      <c r="R78" s="19"/>
      <c r="S78" s="19"/>
      <c r="T78" s="19"/>
    </row>
    <row r="79" spans="1:20" ht="15.75" customHeight="1">
      <c r="A79" s="2"/>
      <c r="B79" s="84" t="s">
        <v>687</v>
      </c>
      <c r="C79" s="84" t="s">
        <v>729</v>
      </c>
      <c r="D79" s="76">
        <v>1000</v>
      </c>
      <c r="E79" s="76">
        <v>1000</v>
      </c>
      <c r="F79" s="76">
        <v>1750</v>
      </c>
      <c r="G79" s="76">
        <v>1750</v>
      </c>
      <c r="H79" s="76">
        <v>2850</v>
      </c>
      <c r="I79" s="76">
        <v>0</v>
      </c>
      <c r="J79" s="517">
        <v>772.36</v>
      </c>
      <c r="K79" s="76">
        <v>156.72</v>
      </c>
      <c r="L79" s="76">
        <v>150</v>
      </c>
      <c r="M79" s="22"/>
      <c r="N79" s="19"/>
      <c r="O79" s="19"/>
      <c r="P79" s="19"/>
      <c r="Q79" s="19"/>
      <c r="R79" s="19"/>
      <c r="S79" s="19"/>
      <c r="T79" s="19"/>
    </row>
    <row r="80" spans="1:20" ht="15.75" customHeight="1">
      <c r="A80" s="2"/>
      <c r="B80" s="84" t="s">
        <v>705</v>
      </c>
      <c r="C80" s="84" t="s">
        <v>730</v>
      </c>
      <c r="D80" s="76">
        <v>1000</v>
      </c>
      <c r="E80" s="76">
        <v>1000</v>
      </c>
      <c r="F80" s="76">
        <v>750</v>
      </c>
      <c r="G80" s="76">
        <v>750</v>
      </c>
      <c r="H80" s="76">
        <v>1000</v>
      </c>
      <c r="I80" s="76">
        <v>0</v>
      </c>
      <c r="J80" s="517"/>
      <c r="K80" s="76">
        <v>103.72</v>
      </c>
      <c r="L80" s="76">
        <v>0</v>
      </c>
      <c r="M80" s="22"/>
      <c r="N80" s="19"/>
      <c r="O80" s="19"/>
      <c r="P80" s="19"/>
      <c r="Q80" s="19"/>
      <c r="R80" s="19"/>
      <c r="S80" s="19"/>
      <c r="T80" s="19"/>
    </row>
    <row r="81" spans="1:20" ht="15.75" customHeight="1">
      <c r="A81" s="2"/>
      <c r="B81" s="90" t="s">
        <v>731</v>
      </c>
      <c r="C81" s="90" t="s">
        <v>730</v>
      </c>
      <c r="D81" s="120">
        <v>1200</v>
      </c>
      <c r="E81" s="120">
        <v>1200</v>
      </c>
      <c r="F81" s="120"/>
      <c r="G81" s="120"/>
      <c r="H81" s="120"/>
      <c r="I81" s="120"/>
      <c r="J81" s="518"/>
      <c r="K81" s="120"/>
      <c r="L81" s="120"/>
      <c r="M81" s="22"/>
      <c r="N81" s="19"/>
      <c r="O81" s="19"/>
      <c r="P81" s="19"/>
      <c r="Q81" s="19"/>
      <c r="R81" s="19"/>
      <c r="S81" s="19"/>
      <c r="T81" s="19"/>
    </row>
    <row r="82" spans="1:20" ht="15.75" customHeight="1">
      <c r="A82" s="2"/>
      <c r="B82" s="54" t="s">
        <v>693</v>
      </c>
      <c r="C82" s="339"/>
      <c r="D82" s="340">
        <f t="shared" ref="D82" si="7">SUM(D73:D81)</f>
        <v>43368</v>
      </c>
      <c r="E82" s="340">
        <f t="shared" ref="E82:L82" si="8">SUM(E73:E81)</f>
        <v>43368</v>
      </c>
      <c r="F82" s="340">
        <f t="shared" si="8"/>
        <v>26000</v>
      </c>
      <c r="G82" s="340">
        <f t="shared" si="8"/>
        <v>26000</v>
      </c>
      <c r="H82" s="340">
        <f t="shared" si="8"/>
        <v>27350</v>
      </c>
      <c r="I82" s="340">
        <f t="shared" si="8"/>
        <v>0</v>
      </c>
      <c r="J82" s="520">
        <f t="shared" si="8"/>
        <v>8869.3799999999992</v>
      </c>
      <c r="K82" s="340">
        <f t="shared" si="8"/>
        <v>340.62</v>
      </c>
      <c r="L82" s="340">
        <f t="shared" si="8"/>
        <v>553.04999999999995</v>
      </c>
      <c r="M82" s="22"/>
      <c r="N82" s="19"/>
      <c r="O82" s="19"/>
      <c r="P82" s="19"/>
      <c r="Q82" s="19"/>
      <c r="R82" s="19"/>
      <c r="S82" s="19"/>
      <c r="T82" s="19"/>
    </row>
    <row r="83" spans="1:20" ht="15.75" customHeight="1">
      <c r="A83" s="2"/>
      <c r="B83" s="171" t="s">
        <v>299</v>
      </c>
      <c r="C83" s="236"/>
      <c r="D83" s="11"/>
      <c r="E83" s="11"/>
      <c r="F83" s="11"/>
      <c r="G83" s="11"/>
      <c r="H83" s="11"/>
      <c r="I83" s="11"/>
      <c r="J83" s="517"/>
      <c r="K83" s="70"/>
      <c r="L83" s="11"/>
      <c r="M83" s="22"/>
      <c r="N83" s="19"/>
      <c r="O83" s="19"/>
      <c r="P83" s="19"/>
      <c r="Q83" s="19"/>
      <c r="R83" s="19"/>
      <c r="S83" s="19"/>
      <c r="T83" s="19"/>
    </row>
    <row r="84" spans="1:20" ht="15.75" customHeight="1">
      <c r="A84" s="2"/>
      <c r="B84" s="84" t="s">
        <v>732</v>
      </c>
      <c r="C84" s="84" t="s">
        <v>733</v>
      </c>
      <c r="D84" s="76">
        <v>20000</v>
      </c>
      <c r="E84" s="76">
        <v>20000</v>
      </c>
      <c r="F84" s="76">
        <v>20000</v>
      </c>
      <c r="G84" s="76">
        <v>20000</v>
      </c>
      <c r="H84" s="76">
        <v>20000</v>
      </c>
      <c r="I84" s="134"/>
      <c r="J84" s="517">
        <v>5989.63</v>
      </c>
      <c r="K84" s="76">
        <v>-2451.77</v>
      </c>
      <c r="L84" s="76">
        <v>15748.23</v>
      </c>
      <c r="M84" s="22"/>
      <c r="N84" s="19"/>
      <c r="O84" s="19"/>
      <c r="P84" s="19"/>
      <c r="Q84" s="19"/>
      <c r="R84" s="19"/>
      <c r="S84" s="19"/>
      <c r="T84" s="19"/>
    </row>
    <row r="85" spans="1:20" ht="15.75" customHeight="1">
      <c r="A85" s="2"/>
      <c r="B85" s="252" t="s">
        <v>734</v>
      </c>
      <c r="C85" s="7"/>
      <c r="D85" s="134"/>
      <c r="E85" s="134"/>
      <c r="F85" s="134"/>
      <c r="G85" s="134"/>
      <c r="H85" s="134"/>
      <c r="I85" s="84" t="s">
        <v>44</v>
      </c>
      <c r="J85" s="517"/>
      <c r="K85" s="76"/>
      <c r="L85" s="238"/>
      <c r="M85" s="22"/>
      <c r="N85" s="19"/>
      <c r="O85" s="19"/>
      <c r="P85" s="19"/>
      <c r="Q85" s="19"/>
      <c r="R85" s="19"/>
      <c r="S85" s="19"/>
      <c r="T85" s="19"/>
    </row>
    <row r="86" spans="1:20" ht="15.75" customHeight="1">
      <c r="A86" s="2"/>
      <c r="B86" s="84" t="s">
        <v>735</v>
      </c>
      <c r="C86" s="84" t="s">
        <v>736</v>
      </c>
      <c r="D86" s="76"/>
      <c r="E86" s="76"/>
      <c r="F86" s="76">
        <v>0</v>
      </c>
      <c r="G86" s="76">
        <v>0</v>
      </c>
      <c r="H86" s="76">
        <v>0</v>
      </c>
      <c r="I86" s="76">
        <v>-26000</v>
      </c>
      <c r="J86" s="517"/>
      <c r="K86" s="76">
        <v>0</v>
      </c>
      <c r="L86" s="76">
        <v>0</v>
      </c>
      <c r="M86" s="22"/>
      <c r="N86" s="19"/>
      <c r="O86" s="19"/>
      <c r="P86" s="19"/>
      <c r="Q86" s="19"/>
      <c r="R86" s="19"/>
      <c r="S86" s="19"/>
      <c r="T86" s="19"/>
    </row>
    <row r="87" spans="1:20" ht="15.75" customHeight="1">
      <c r="A87" s="2"/>
      <c r="B87" s="84" t="s">
        <v>737</v>
      </c>
      <c r="C87" s="84" t="s">
        <v>738</v>
      </c>
      <c r="D87" s="76"/>
      <c r="E87" s="76"/>
      <c r="F87" s="76">
        <v>0</v>
      </c>
      <c r="G87" s="76">
        <v>0</v>
      </c>
      <c r="H87" s="76">
        <v>0</v>
      </c>
      <c r="I87" s="76">
        <v>-23918</v>
      </c>
      <c r="J87" s="517">
        <v>-1788</v>
      </c>
      <c r="K87" s="76">
        <v>-3070</v>
      </c>
      <c r="L87" s="76">
        <v>0</v>
      </c>
      <c r="M87" s="22"/>
      <c r="N87" s="19"/>
      <c r="O87" s="19"/>
      <c r="P87" s="19"/>
      <c r="Q87" s="19"/>
      <c r="R87" s="19"/>
      <c r="S87" s="19"/>
      <c r="T87" s="19"/>
    </row>
    <row r="88" spans="1:20" ht="15.75" customHeight="1">
      <c r="A88" s="2"/>
      <c r="B88" s="84" t="s">
        <v>739</v>
      </c>
      <c r="C88" s="84" t="s">
        <v>740</v>
      </c>
      <c r="D88" s="76">
        <v>-20000</v>
      </c>
      <c r="E88" s="76">
        <v>-20000</v>
      </c>
      <c r="F88" s="76">
        <v>-20000</v>
      </c>
      <c r="G88" s="76">
        <v>-20000</v>
      </c>
      <c r="H88" s="76">
        <v>-20000</v>
      </c>
      <c r="I88" s="76">
        <v>0</v>
      </c>
      <c r="J88" s="517"/>
      <c r="K88" s="76">
        <v>0</v>
      </c>
      <c r="L88" s="76">
        <v>0</v>
      </c>
      <c r="M88" s="22"/>
      <c r="N88" s="19"/>
      <c r="O88" s="19"/>
      <c r="P88" s="19"/>
      <c r="Q88" s="19"/>
      <c r="R88" s="19"/>
      <c r="S88" s="19"/>
      <c r="T88" s="19"/>
    </row>
    <row r="89" spans="1:20" ht="15.75" customHeight="1">
      <c r="A89" s="2"/>
      <c r="B89" s="84" t="s">
        <v>741</v>
      </c>
      <c r="C89" s="84" t="s">
        <v>742</v>
      </c>
      <c r="D89" s="76"/>
      <c r="E89" s="76"/>
      <c r="F89" s="76">
        <v>-23830</v>
      </c>
      <c r="G89" s="76">
        <v>-23830</v>
      </c>
      <c r="H89" s="76">
        <v>-23830</v>
      </c>
      <c r="I89" s="76">
        <v>0</v>
      </c>
      <c r="J89" s="517">
        <v>-333.8</v>
      </c>
      <c r="K89" s="76">
        <v>18603.93</v>
      </c>
      <c r="L89" s="76">
        <v>-15853.93</v>
      </c>
      <c r="M89" s="22"/>
      <c r="N89" s="19"/>
      <c r="O89" s="19"/>
      <c r="P89" s="19"/>
      <c r="Q89" s="19"/>
      <c r="R89" s="19"/>
      <c r="S89" s="19"/>
      <c r="T89" s="19"/>
    </row>
    <row r="90" spans="1:20" ht="15.75" customHeight="1">
      <c r="A90" s="183"/>
      <c r="B90" s="90" t="s">
        <v>743</v>
      </c>
      <c r="C90" s="90" t="s">
        <v>744</v>
      </c>
      <c r="D90" s="120">
        <v>-5825</v>
      </c>
      <c r="E90" s="120">
        <v>-5825</v>
      </c>
      <c r="F90" s="120">
        <v>0</v>
      </c>
      <c r="G90" s="120">
        <v>0</v>
      </c>
      <c r="H90" s="120">
        <v>0</v>
      </c>
      <c r="I90" s="120">
        <v>0</v>
      </c>
      <c r="J90" s="518">
        <v>-5974.06</v>
      </c>
      <c r="K90" s="120">
        <v>0</v>
      </c>
      <c r="L90" s="120">
        <v>0</v>
      </c>
      <c r="M90" s="22"/>
      <c r="N90" s="19"/>
      <c r="O90" s="19"/>
      <c r="P90" s="19"/>
      <c r="Q90" s="19"/>
      <c r="R90" s="19"/>
      <c r="S90" s="19"/>
      <c r="T90" s="19"/>
    </row>
    <row r="91" spans="1:20" ht="15.75" customHeight="1">
      <c r="A91" s="45"/>
      <c r="B91" s="239"/>
      <c r="C91" s="54" t="s">
        <v>197</v>
      </c>
      <c r="D91" s="240">
        <f>D41+D56+D71+D82+SUM(D84:D90)</f>
        <v>415018</v>
      </c>
      <c r="E91" s="240">
        <f>E41+E56+E71+E82+SUM(E84:E90)</f>
        <v>415018</v>
      </c>
      <c r="F91" s="240">
        <f>F71+F56+F41+F89</f>
        <v>282865</v>
      </c>
      <c r="G91" s="41">
        <f>G41+G56+G71+G82+G84+G88+G89</f>
        <v>248780</v>
      </c>
      <c r="H91" s="41">
        <f>SUM(H22:H90)</f>
        <v>577726</v>
      </c>
      <c r="I91" s="41">
        <f>SUM(I22:I90)</f>
        <v>342178</v>
      </c>
      <c r="J91" s="519">
        <f>J41+J56+J71+J82+SUM(J84:J90)</f>
        <v>356067.42000000004</v>
      </c>
      <c r="K91" s="41">
        <v>310164.90999999992</v>
      </c>
      <c r="L91" s="41">
        <f>SUM(L22:L90)</f>
        <v>489785.38</v>
      </c>
      <c r="M91" s="22"/>
      <c r="N91" s="19"/>
      <c r="O91" s="19"/>
      <c r="P91" s="19"/>
      <c r="Q91" s="19"/>
      <c r="R91" s="19"/>
      <c r="S91" s="19"/>
      <c r="T91" s="19"/>
    </row>
    <row r="92" spans="1:20" ht="15.75" customHeight="1">
      <c r="A92" s="122" t="s">
        <v>745</v>
      </c>
      <c r="B92" s="299" t="s">
        <v>746</v>
      </c>
      <c r="C92" s="236"/>
      <c r="D92" s="346"/>
      <c r="E92" s="346"/>
      <c r="F92" s="346"/>
      <c r="G92" s="302"/>
      <c r="H92" s="302"/>
      <c r="I92" s="11"/>
      <c r="J92" s="517"/>
      <c r="K92" s="302"/>
      <c r="L92" s="346"/>
      <c r="M92" s="331"/>
      <c r="N92" s="5"/>
      <c r="O92" s="5"/>
      <c r="P92" s="19"/>
      <c r="Q92" s="19"/>
      <c r="R92" s="19"/>
      <c r="S92" s="19"/>
      <c r="T92" s="19"/>
    </row>
    <row r="93" spans="1:20" ht="15.75" customHeight="1">
      <c r="A93" s="123"/>
      <c r="B93" s="84" t="s">
        <v>198</v>
      </c>
      <c r="C93" s="84" t="s">
        <v>747</v>
      </c>
      <c r="D93" s="250">
        <v>40790.75</v>
      </c>
      <c r="E93" s="250">
        <v>40790.75</v>
      </c>
      <c r="F93" s="250">
        <v>36663</v>
      </c>
      <c r="G93" s="250">
        <v>36663</v>
      </c>
      <c r="H93" s="250">
        <v>36663</v>
      </c>
      <c r="I93" s="76">
        <v>30150.15</v>
      </c>
      <c r="J93" s="517">
        <v>42194.73</v>
      </c>
      <c r="K93" s="250">
        <v>33138.75</v>
      </c>
      <c r="L93" s="250">
        <v>25623.75</v>
      </c>
      <c r="M93" s="467"/>
      <c r="N93" s="468"/>
      <c r="O93" s="468"/>
      <c r="P93" s="22"/>
      <c r="Q93" s="19"/>
      <c r="R93" s="19"/>
      <c r="S93" s="19"/>
      <c r="T93" s="19"/>
    </row>
    <row r="94" spans="1:20" ht="15.75" customHeight="1">
      <c r="A94" s="2"/>
      <c r="B94" s="84" t="s">
        <v>200</v>
      </c>
      <c r="C94" s="84" t="s">
        <v>748</v>
      </c>
      <c r="D94" s="251">
        <v>7730</v>
      </c>
      <c r="E94" s="251">
        <v>7730</v>
      </c>
      <c r="F94" s="251">
        <v>6166.41</v>
      </c>
      <c r="G94" s="251">
        <v>6166.41</v>
      </c>
      <c r="H94" s="251">
        <v>6166.41</v>
      </c>
      <c r="I94" s="76">
        <v>5095</v>
      </c>
      <c r="J94" s="517">
        <v>9918.7999999999993</v>
      </c>
      <c r="K94" s="250">
        <v>5028.04</v>
      </c>
      <c r="L94" s="250">
        <v>3971.29</v>
      </c>
      <c r="M94" s="464"/>
      <c r="N94" s="464"/>
      <c r="O94" s="464"/>
      <c r="P94" s="22"/>
      <c r="Q94" s="19"/>
      <c r="R94" s="19"/>
      <c r="S94" s="19"/>
      <c r="T94" s="19"/>
    </row>
    <row r="95" spans="1:20" ht="15.75" customHeight="1">
      <c r="A95" s="2"/>
      <c r="B95" s="84" t="s">
        <v>204</v>
      </c>
      <c r="C95" s="84" t="s">
        <v>749</v>
      </c>
      <c r="D95" s="245">
        <v>1300</v>
      </c>
      <c r="E95" s="245">
        <v>1300</v>
      </c>
      <c r="F95" s="245">
        <v>1690</v>
      </c>
      <c r="G95" s="245">
        <v>1690</v>
      </c>
      <c r="H95" s="245">
        <v>1690</v>
      </c>
      <c r="I95" s="76">
        <v>1320</v>
      </c>
      <c r="J95" s="517">
        <v>1874.83</v>
      </c>
      <c r="K95" s="250">
        <v>983.9</v>
      </c>
      <c r="L95" s="250">
        <v>740.6</v>
      </c>
      <c r="M95" s="467"/>
      <c r="N95" s="467"/>
      <c r="O95" s="467"/>
      <c r="P95" s="22"/>
      <c r="Q95" s="19"/>
      <c r="R95" s="19"/>
      <c r="S95" s="19"/>
      <c r="T95" s="19"/>
    </row>
    <row r="96" spans="1:20" ht="15.75" customHeight="1">
      <c r="A96" s="2"/>
      <c r="B96" s="84" t="s">
        <v>206</v>
      </c>
      <c r="C96" s="84" t="s">
        <v>750</v>
      </c>
      <c r="D96" s="250">
        <v>100</v>
      </c>
      <c r="E96" s="250">
        <v>100</v>
      </c>
      <c r="F96" s="250">
        <v>100</v>
      </c>
      <c r="G96" s="250">
        <v>100</v>
      </c>
      <c r="H96" s="250">
        <v>100</v>
      </c>
      <c r="I96" s="76">
        <v>100</v>
      </c>
      <c r="J96" s="517">
        <v>71.12</v>
      </c>
      <c r="K96" s="250">
        <v>0</v>
      </c>
      <c r="L96" s="250">
        <v>147.76</v>
      </c>
      <c r="M96" s="96"/>
      <c r="N96" s="39"/>
      <c r="O96" s="39"/>
      <c r="P96" s="19"/>
      <c r="Q96" s="19"/>
      <c r="R96" s="19"/>
      <c r="S96" s="19"/>
      <c r="T96" s="19"/>
    </row>
    <row r="97" spans="1:20" ht="15.75" customHeight="1">
      <c r="A97" s="2"/>
      <c r="B97" s="84" t="s">
        <v>167</v>
      </c>
      <c r="C97" s="84" t="s">
        <v>751</v>
      </c>
      <c r="D97" s="250">
        <v>750</v>
      </c>
      <c r="E97" s="250">
        <v>750</v>
      </c>
      <c r="F97" s="250">
        <v>750</v>
      </c>
      <c r="G97" s="250">
        <v>750</v>
      </c>
      <c r="H97" s="250">
        <v>750</v>
      </c>
      <c r="I97" s="76">
        <v>750</v>
      </c>
      <c r="J97" s="517">
        <v>4113.51</v>
      </c>
      <c r="K97" s="250">
        <v>1099.8800000000001</v>
      </c>
      <c r="L97" s="250">
        <v>1099.8800000000001</v>
      </c>
      <c r="M97" s="464"/>
      <c r="N97" s="464"/>
      <c r="O97" s="464"/>
      <c r="P97" s="22"/>
      <c r="Q97" s="19"/>
      <c r="R97" s="19"/>
      <c r="S97" s="19"/>
      <c r="T97" s="19"/>
    </row>
    <row r="98" spans="1:20" ht="15.75" customHeight="1">
      <c r="A98" s="2"/>
      <c r="B98" s="84" t="s">
        <v>169</v>
      </c>
      <c r="C98" s="84" t="s">
        <v>752</v>
      </c>
      <c r="D98" s="250">
        <v>50</v>
      </c>
      <c r="E98" s="250">
        <v>50</v>
      </c>
      <c r="F98" s="250">
        <v>50</v>
      </c>
      <c r="G98" s="250">
        <v>50</v>
      </c>
      <c r="H98" s="250">
        <v>100</v>
      </c>
      <c r="I98" s="76">
        <v>100</v>
      </c>
      <c r="J98" s="517">
        <v>63.24</v>
      </c>
      <c r="K98" s="250">
        <v>10.9</v>
      </c>
      <c r="L98" s="250">
        <v>10.9</v>
      </c>
      <c r="M98" s="96"/>
      <c r="N98" s="39"/>
      <c r="O98" s="39"/>
      <c r="P98" s="19"/>
      <c r="Q98" s="19"/>
      <c r="R98" s="19"/>
      <c r="S98" s="19"/>
      <c r="T98" s="19"/>
    </row>
    <row r="99" spans="1:20" ht="15.75" customHeight="1">
      <c r="A99" s="138" t="s">
        <v>753</v>
      </c>
      <c r="B99" s="84" t="s">
        <v>754</v>
      </c>
      <c r="C99" s="84" t="s">
        <v>755</v>
      </c>
      <c r="D99" s="250">
        <v>5600</v>
      </c>
      <c r="E99" s="250">
        <v>5600</v>
      </c>
      <c r="F99" s="250">
        <v>7700</v>
      </c>
      <c r="G99" s="250">
        <v>7700</v>
      </c>
      <c r="H99" s="250">
        <v>7500</v>
      </c>
      <c r="I99" s="76">
        <v>9000</v>
      </c>
      <c r="J99" s="517">
        <v>4161.0200000000004</v>
      </c>
      <c r="K99" s="250">
        <v>2912.38</v>
      </c>
      <c r="L99" s="250">
        <v>2400</v>
      </c>
      <c r="M99" s="464"/>
      <c r="N99" s="464"/>
      <c r="O99" s="464"/>
      <c r="P99" s="22"/>
      <c r="Q99" s="19"/>
      <c r="R99" s="19"/>
      <c r="S99" s="19"/>
      <c r="T99" s="19"/>
    </row>
    <row r="100" spans="1:20" ht="15.75" customHeight="1">
      <c r="A100" s="2"/>
      <c r="B100" s="84" t="s">
        <v>756</v>
      </c>
      <c r="C100" s="84" t="s">
        <v>757</v>
      </c>
      <c r="D100" s="250">
        <v>1200</v>
      </c>
      <c r="E100" s="250">
        <v>1200</v>
      </c>
      <c r="F100" s="250">
        <v>1200</v>
      </c>
      <c r="G100" s="250">
        <v>1200</v>
      </c>
      <c r="H100" s="250">
        <v>1200</v>
      </c>
      <c r="I100" s="76">
        <v>1200</v>
      </c>
      <c r="J100" s="517"/>
      <c r="K100" s="250">
        <v>0</v>
      </c>
      <c r="L100" s="347" t="s">
        <v>44</v>
      </c>
      <c r="M100" s="474"/>
      <c r="N100" s="475"/>
      <c r="O100" s="476"/>
      <c r="P100" s="22"/>
      <c r="Q100" s="19"/>
      <c r="R100" s="19"/>
      <c r="S100" s="19"/>
      <c r="T100" s="19"/>
    </row>
    <row r="101" spans="1:20" ht="15.75" customHeight="1">
      <c r="A101" s="138" t="s">
        <v>758</v>
      </c>
      <c r="B101" s="84" t="s">
        <v>368</v>
      </c>
      <c r="C101" s="84" t="s">
        <v>759</v>
      </c>
      <c r="D101" s="250">
        <v>7600</v>
      </c>
      <c r="E101" s="250">
        <v>7600</v>
      </c>
      <c r="F101" s="250">
        <f t="shared" ref="F101:G101" si="9">7600-6000</f>
        <v>1600</v>
      </c>
      <c r="G101" s="250">
        <f t="shared" si="9"/>
        <v>1600</v>
      </c>
      <c r="H101" s="250">
        <v>9000</v>
      </c>
      <c r="I101" s="76">
        <v>9500</v>
      </c>
      <c r="J101" s="517">
        <v>5737.84</v>
      </c>
      <c r="K101" s="250">
        <v>6998.76</v>
      </c>
      <c r="L101" s="250">
        <v>6998.76</v>
      </c>
      <c r="M101" s="467"/>
      <c r="N101" s="467"/>
      <c r="O101" s="467"/>
      <c r="P101" s="22"/>
      <c r="Q101" s="19"/>
      <c r="R101" s="19"/>
      <c r="S101" s="19"/>
      <c r="T101" s="19"/>
    </row>
    <row r="102" spans="1:20" ht="15.75" customHeight="1">
      <c r="A102" s="2"/>
      <c r="B102" s="84" t="s">
        <v>760</v>
      </c>
      <c r="C102" s="84" t="s">
        <v>761</v>
      </c>
      <c r="D102" s="250">
        <v>2000</v>
      </c>
      <c r="E102" s="250">
        <v>2000</v>
      </c>
      <c r="F102" s="250">
        <v>3000</v>
      </c>
      <c r="G102" s="250">
        <v>3000</v>
      </c>
      <c r="H102" s="250">
        <v>3000</v>
      </c>
      <c r="I102" s="76">
        <v>3000</v>
      </c>
      <c r="J102" s="517">
        <v>2273.75</v>
      </c>
      <c r="K102" s="250">
        <v>1289.6500000000001</v>
      </c>
      <c r="L102" s="250">
        <v>1289.6500000000001</v>
      </c>
      <c r="M102" s="464"/>
      <c r="N102" s="464"/>
      <c r="O102" s="464"/>
      <c r="P102" s="22"/>
      <c r="Q102" s="19"/>
      <c r="R102" s="19"/>
      <c r="S102" s="19"/>
      <c r="T102" s="19"/>
    </row>
    <row r="103" spans="1:20" ht="15.75" customHeight="1">
      <c r="A103" s="2"/>
      <c r="B103" s="84" t="s">
        <v>276</v>
      </c>
      <c r="C103" s="84" t="s">
        <v>762</v>
      </c>
      <c r="D103" s="250">
        <v>3200</v>
      </c>
      <c r="E103" s="250">
        <v>3200</v>
      </c>
      <c r="F103" s="250">
        <v>3200</v>
      </c>
      <c r="G103" s="250">
        <v>3200</v>
      </c>
      <c r="H103" s="250">
        <v>3200</v>
      </c>
      <c r="I103" s="76">
        <v>3200</v>
      </c>
      <c r="J103" s="517">
        <v>4079.84</v>
      </c>
      <c r="K103" s="250">
        <v>2810.87</v>
      </c>
      <c r="L103" s="250">
        <v>2810.87</v>
      </c>
      <c r="M103" s="467"/>
      <c r="N103" s="467"/>
      <c r="O103" s="467"/>
      <c r="P103" s="22"/>
      <c r="Q103" s="19"/>
      <c r="R103" s="19"/>
      <c r="S103" s="19"/>
      <c r="T103" s="19"/>
    </row>
    <row r="104" spans="1:20" ht="15.75" customHeight="1">
      <c r="A104" s="2"/>
      <c r="B104" s="84" t="s">
        <v>218</v>
      </c>
      <c r="C104" s="84" t="s">
        <v>763</v>
      </c>
      <c r="D104" s="250">
        <v>1800</v>
      </c>
      <c r="E104" s="250">
        <v>1800</v>
      </c>
      <c r="F104" s="250">
        <v>525</v>
      </c>
      <c r="G104" s="250">
        <v>525</v>
      </c>
      <c r="H104" s="250">
        <v>525</v>
      </c>
      <c r="I104" s="76">
        <v>525</v>
      </c>
      <c r="J104" s="517">
        <v>199.29</v>
      </c>
      <c r="K104" s="250">
        <v>-457.21</v>
      </c>
      <c r="L104" s="250">
        <v>-457.21</v>
      </c>
      <c r="M104" s="464"/>
      <c r="N104" s="464"/>
      <c r="O104" s="464"/>
      <c r="P104" s="22"/>
      <c r="Q104" s="19"/>
      <c r="R104" s="19"/>
      <c r="S104" s="19"/>
      <c r="T104" s="19"/>
    </row>
    <row r="105" spans="1:20" ht="15.75" customHeight="1">
      <c r="A105" s="2"/>
      <c r="B105" s="84" t="s">
        <v>764</v>
      </c>
      <c r="C105" s="84" t="s">
        <v>765</v>
      </c>
      <c r="D105" s="250">
        <v>1500</v>
      </c>
      <c r="E105" s="250">
        <v>1500</v>
      </c>
      <c r="F105" s="250">
        <v>1500</v>
      </c>
      <c r="G105" s="250">
        <v>1500</v>
      </c>
      <c r="H105" s="250">
        <v>1500</v>
      </c>
      <c r="I105" s="76">
        <v>1500</v>
      </c>
      <c r="J105" s="517">
        <v>982.8</v>
      </c>
      <c r="K105" s="250">
        <v>71.680000000000007</v>
      </c>
      <c r="L105" s="250">
        <v>71.680000000000007</v>
      </c>
      <c r="M105" s="464"/>
      <c r="N105" s="464"/>
      <c r="O105" s="464"/>
      <c r="P105" s="22"/>
      <c r="Q105" s="19"/>
      <c r="R105" s="19"/>
      <c r="S105" s="19"/>
      <c r="T105" s="19"/>
    </row>
    <row r="106" spans="1:20" ht="15.75" customHeight="1">
      <c r="A106" s="2"/>
      <c r="B106" s="84" t="s">
        <v>175</v>
      </c>
      <c r="C106" s="84" t="s">
        <v>766</v>
      </c>
      <c r="D106" s="329">
        <v>500</v>
      </c>
      <c r="E106" s="329">
        <v>500</v>
      </c>
      <c r="F106" s="329">
        <v>500</v>
      </c>
      <c r="G106" s="329">
        <v>500</v>
      </c>
      <c r="H106" s="348" t="s">
        <v>44</v>
      </c>
      <c r="I106" s="76">
        <v>150</v>
      </c>
      <c r="J106" s="517"/>
      <c r="K106" s="250">
        <v>-481.96</v>
      </c>
      <c r="L106" s="250">
        <v>-481.96</v>
      </c>
      <c r="M106" s="464"/>
      <c r="N106" s="464"/>
      <c r="O106" s="464"/>
      <c r="P106" s="22"/>
      <c r="Q106" s="19"/>
      <c r="R106" s="19"/>
      <c r="S106" s="19"/>
      <c r="T106" s="19"/>
    </row>
    <row r="107" spans="1:20" ht="15.75" customHeight="1">
      <c r="A107" s="2"/>
      <c r="B107" s="84" t="s">
        <v>767</v>
      </c>
      <c r="C107" s="84" t="s">
        <v>768</v>
      </c>
      <c r="D107" s="250">
        <v>1000</v>
      </c>
      <c r="E107" s="250">
        <v>1000</v>
      </c>
      <c r="F107" s="250">
        <v>1500</v>
      </c>
      <c r="G107" s="250">
        <v>1500</v>
      </c>
      <c r="H107" s="250">
        <v>1500</v>
      </c>
      <c r="I107" s="76">
        <v>1500</v>
      </c>
      <c r="J107" s="517">
        <v>772.61</v>
      </c>
      <c r="K107" s="250">
        <v>861.35</v>
      </c>
      <c r="L107" s="250">
        <v>861.35</v>
      </c>
      <c r="M107" s="464"/>
      <c r="N107" s="464"/>
      <c r="O107" s="464"/>
      <c r="P107" s="22"/>
      <c r="Q107" s="19"/>
      <c r="R107" s="19"/>
      <c r="S107" s="19"/>
      <c r="T107" s="19"/>
    </row>
    <row r="108" spans="1:20" ht="15.75" customHeight="1">
      <c r="A108" s="2"/>
      <c r="B108" s="84" t="s">
        <v>177</v>
      </c>
      <c r="C108" s="84" t="s">
        <v>769</v>
      </c>
      <c r="D108" s="250">
        <v>1500</v>
      </c>
      <c r="E108" s="250">
        <v>1500</v>
      </c>
      <c r="F108" s="250">
        <v>1500</v>
      </c>
      <c r="G108" s="250">
        <v>1500</v>
      </c>
      <c r="H108" s="250">
        <v>1500</v>
      </c>
      <c r="I108" s="76">
        <v>1500</v>
      </c>
      <c r="J108" s="517"/>
      <c r="K108" s="250">
        <v>67.2</v>
      </c>
      <c r="L108" s="250">
        <v>67.2</v>
      </c>
      <c r="M108" s="96"/>
      <c r="N108" s="39"/>
      <c r="O108" s="39"/>
      <c r="P108" s="19"/>
      <c r="Q108" s="19"/>
      <c r="R108" s="19"/>
      <c r="S108" s="19"/>
      <c r="T108" s="19"/>
    </row>
    <row r="109" spans="1:20" ht="15.75" customHeight="1">
      <c r="A109" s="2"/>
      <c r="B109" s="84" t="s">
        <v>770</v>
      </c>
      <c r="C109" s="84" t="s">
        <v>771</v>
      </c>
      <c r="D109" s="251"/>
      <c r="E109" s="251"/>
      <c r="F109" s="251">
        <v>9000</v>
      </c>
      <c r="G109" s="251">
        <v>9000</v>
      </c>
      <c r="H109" s="251">
        <v>9000</v>
      </c>
      <c r="I109" s="84" t="s">
        <v>44</v>
      </c>
      <c r="J109" s="517">
        <v>3130.54</v>
      </c>
      <c r="K109" s="250">
        <v>0</v>
      </c>
      <c r="L109" s="250"/>
      <c r="M109" s="464"/>
      <c r="N109" s="464"/>
      <c r="O109" s="464"/>
      <c r="P109" s="22"/>
      <c r="Q109" s="19"/>
      <c r="R109" s="19"/>
      <c r="S109" s="19"/>
      <c r="T109" s="19"/>
    </row>
    <row r="110" spans="1:20" ht="15.75" customHeight="1">
      <c r="A110" s="2"/>
      <c r="B110" s="84" t="s">
        <v>772</v>
      </c>
      <c r="C110" s="84" t="s">
        <v>773</v>
      </c>
      <c r="D110" s="76">
        <v>1000</v>
      </c>
      <c r="E110" s="76">
        <v>1000</v>
      </c>
      <c r="F110" s="76">
        <v>1750</v>
      </c>
      <c r="G110" s="76">
        <v>1750</v>
      </c>
      <c r="H110" s="76">
        <v>2000</v>
      </c>
      <c r="I110" s="76">
        <v>1500</v>
      </c>
      <c r="J110" s="517">
        <v>896.13</v>
      </c>
      <c r="K110" s="250">
        <v>855.06000000000006</v>
      </c>
      <c r="L110" s="250">
        <v>787.26</v>
      </c>
      <c r="M110" s="96"/>
      <c r="N110" s="39"/>
      <c r="O110" s="39"/>
      <c r="P110" s="19"/>
      <c r="Q110" s="19"/>
      <c r="R110" s="19"/>
      <c r="S110" s="19"/>
      <c r="T110" s="19"/>
    </row>
    <row r="111" spans="1:20" ht="15.75" customHeight="1">
      <c r="A111" s="2"/>
      <c r="B111" s="308" t="s">
        <v>774</v>
      </c>
      <c r="C111" s="7"/>
      <c r="D111" s="134"/>
      <c r="E111" s="134"/>
      <c r="F111" s="134"/>
      <c r="G111" s="134"/>
      <c r="H111" s="134"/>
      <c r="I111" s="134"/>
      <c r="J111" s="517"/>
      <c r="K111" s="250"/>
      <c r="L111" s="250"/>
      <c r="M111" s="464"/>
      <c r="N111" s="464"/>
      <c r="O111" s="464"/>
      <c r="P111" s="22"/>
      <c r="Q111" s="19"/>
      <c r="R111" s="19"/>
      <c r="S111" s="19"/>
      <c r="T111" s="19"/>
    </row>
    <row r="112" spans="1:20" ht="15.75" customHeight="1">
      <c r="A112" s="2"/>
      <c r="B112" s="84" t="s">
        <v>360</v>
      </c>
      <c r="C112" s="84" t="s">
        <v>775</v>
      </c>
      <c r="D112" s="76">
        <v>7500</v>
      </c>
      <c r="E112" s="76">
        <v>7500</v>
      </c>
      <c r="F112" s="76">
        <v>17920</v>
      </c>
      <c r="G112" s="76">
        <v>17920</v>
      </c>
      <c r="H112" s="76">
        <v>15370</v>
      </c>
      <c r="I112" s="76">
        <v>15069</v>
      </c>
      <c r="J112" s="517">
        <v>15039</v>
      </c>
      <c r="K112" s="250">
        <v>15176.6</v>
      </c>
      <c r="L112" s="250">
        <v>11672.6</v>
      </c>
      <c r="M112" s="471"/>
      <c r="N112" s="472"/>
      <c r="O112" s="473"/>
      <c r="P112" s="22"/>
      <c r="Q112" s="19"/>
      <c r="R112" s="19"/>
      <c r="S112" s="19"/>
      <c r="T112" s="19"/>
    </row>
    <row r="113" spans="1:20" ht="15.75" customHeight="1">
      <c r="A113" s="2"/>
      <c r="B113" s="84" t="s">
        <v>230</v>
      </c>
      <c r="C113" s="84" t="s">
        <v>776</v>
      </c>
      <c r="D113" s="76">
        <v>600</v>
      </c>
      <c r="E113" s="76">
        <v>600</v>
      </c>
      <c r="F113" s="76">
        <v>1254</v>
      </c>
      <c r="G113" s="76">
        <v>1254</v>
      </c>
      <c r="H113" s="76">
        <v>1075.9000000000001</v>
      </c>
      <c r="I113" s="76">
        <v>1054.8800000000001</v>
      </c>
      <c r="J113" s="517"/>
      <c r="K113" s="250">
        <v>0</v>
      </c>
      <c r="L113" s="347" t="s">
        <v>44</v>
      </c>
      <c r="M113" s="12"/>
      <c r="N113" s="3"/>
      <c r="O113" s="3"/>
      <c r="P113" s="19"/>
      <c r="Q113" s="19"/>
      <c r="R113" s="19"/>
      <c r="S113" s="19"/>
      <c r="T113" s="19"/>
    </row>
    <row r="114" spans="1:20" ht="15.75" customHeight="1">
      <c r="A114" s="2"/>
      <c r="B114" s="84" t="s">
        <v>204</v>
      </c>
      <c r="C114" s="84" t="s">
        <v>777</v>
      </c>
      <c r="D114" s="76">
        <v>0</v>
      </c>
      <c r="E114" s="76">
        <v>0</v>
      </c>
      <c r="F114" s="76">
        <v>600</v>
      </c>
      <c r="G114" s="76">
        <v>600</v>
      </c>
      <c r="H114" s="76">
        <v>600</v>
      </c>
      <c r="I114" s="76">
        <v>600</v>
      </c>
      <c r="J114" s="517">
        <v>156.4</v>
      </c>
      <c r="K114" s="250">
        <v>479.9</v>
      </c>
      <c r="L114" s="250">
        <v>362.6</v>
      </c>
      <c r="M114" s="22"/>
      <c r="N114" s="19"/>
      <c r="O114" s="19"/>
      <c r="P114" s="19"/>
      <c r="Q114" s="19"/>
      <c r="R114" s="19"/>
      <c r="S114" s="19"/>
      <c r="T114" s="19"/>
    </row>
    <row r="115" spans="1:20" ht="15.75" customHeight="1">
      <c r="A115" s="2"/>
      <c r="B115" s="84" t="s">
        <v>778</v>
      </c>
      <c r="C115" s="84" t="s">
        <v>779</v>
      </c>
      <c r="D115" s="76">
        <v>0</v>
      </c>
      <c r="E115" s="76">
        <v>0</v>
      </c>
      <c r="F115" s="76">
        <v>50</v>
      </c>
      <c r="G115" s="76">
        <v>50</v>
      </c>
      <c r="H115" s="76">
        <v>50</v>
      </c>
      <c r="I115" s="76">
        <v>50</v>
      </c>
      <c r="J115" s="517"/>
      <c r="K115" s="250">
        <v>0</v>
      </c>
      <c r="L115" s="347" t="s">
        <v>44</v>
      </c>
      <c r="M115" s="22"/>
      <c r="N115" s="19"/>
      <c r="O115" s="19"/>
      <c r="P115" s="19"/>
      <c r="Q115" s="19"/>
      <c r="R115" s="19"/>
      <c r="S115" s="19"/>
      <c r="T115" s="19"/>
    </row>
    <row r="116" spans="1:20" ht="15.75" customHeight="1">
      <c r="A116" s="2"/>
      <c r="B116" s="84" t="s">
        <v>422</v>
      </c>
      <c r="C116" s="84" t="s">
        <v>780</v>
      </c>
      <c r="D116" s="76">
        <v>0</v>
      </c>
      <c r="E116" s="76">
        <v>0</v>
      </c>
      <c r="F116" s="76">
        <v>84</v>
      </c>
      <c r="G116" s="76">
        <v>84</v>
      </c>
      <c r="H116" s="76">
        <v>84</v>
      </c>
      <c r="I116" s="76">
        <v>84</v>
      </c>
      <c r="J116" s="517"/>
      <c r="K116" s="250">
        <v>-40.342999999999961</v>
      </c>
      <c r="L116" s="250">
        <v>-40.29</v>
      </c>
      <c r="M116" s="22"/>
      <c r="N116" s="19"/>
      <c r="O116" s="19"/>
      <c r="P116" s="19"/>
      <c r="Q116" s="19"/>
      <c r="R116" s="19"/>
      <c r="S116" s="19"/>
      <c r="T116" s="19"/>
    </row>
    <row r="117" spans="1:20" ht="15.75" customHeight="1">
      <c r="A117" s="2"/>
      <c r="B117" s="84" t="s">
        <v>212</v>
      </c>
      <c r="C117" s="84" t="s">
        <v>781</v>
      </c>
      <c r="D117" s="76">
        <v>0</v>
      </c>
      <c r="E117" s="76">
        <v>0</v>
      </c>
      <c r="F117" s="76">
        <v>1500</v>
      </c>
      <c r="G117" s="76">
        <v>1500</v>
      </c>
      <c r="H117" s="76">
        <v>1500</v>
      </c>
      <c r="I117" s="76">
        <v>1500</v>
      </c>
      <c r="J117" s="517"/>
      <c r="K117" s="250">
        <v>1500</v>
      </c>
      <c r="L117" s="347" t="s">
        <v>44</v>
      </c>
      <c r="M117" s="22"/>
      <c r="N117" s="19"/>
      <c r="O117" s="19"/>
      <c r="P117" s="19"/>
      <c r="Q117" s="19"/>
      <c r="R117" s="19"/>
      <c r="S117" s="19"/>
      <c r="T117" s="19"/>
    </row>
    <row r="118" spans="1:20" ht="15.75" customHeight="1">
      <c r="A118" s="2"/>
      <c r="B118" s="84" t="s">
        <v>216</v>
      </c>
      <c r="C118" s="84" t="s">
        <v>782</v>
      </c>
      <c r="D118" s="76">
        <v>0</v>
      </c>
      <c r="E118" s="76">
        <v>0</v>
      </c>
      <c r="F118" s="76">
        <v>200</v>
      </c>
      <c r="G118" s="76">
        <v>200</v>
      </c>
      <c r="H118" s="76">
        <v>200</v>
      </c>
      <c r="I118" s="76">
        <v>200</v>
      </c>
      <c r="J118" s="517"/>
      <c r="K118" s="250">
        <v>0</v>
      </c>
      <c r="L118" s="347" t="s">
        <v>44</v>
      </c>
      <c r="M118" s="331"/>
      <c r="N118" s="5"/>
      <c r="O118" s="5"/>
      <c r="P118" s="19"/>
      <c r="Q118" s="19"/>
      <c r="R118" s="19"/>
      <c r="S118" s="19"/>
      <c r="T118" s="19"/>
    </row>
    <row r="119" spans="1:20" ht="15.75" customHeight="1">
      <c r="A119" s="19"/>
      <c r="B119" s="349" t="s">
        <v>783</v>
      </c>
      <c r="C119" s="199"/>
      <c r="D119" s="120">
        <v>-23500</v>
      </c>
      <c r="E119" s="120">
        <v>-23500</v>
      </c>
      <c r="F119" s="120"/>
      <c r="G119" s="120"/>
      <c r="H119" s="120"/>
      <c r="I119" s="120"/>
      <c r="J119" s="518"/>
      <c r="K119" s="350"/>
      <c r="L119" s="350"/>
      <c r="M119" s="464"/>
      <c r="N119" s="464"/>
      <c r="O119" s="464"/>
      <c r="P119" s="22"/>
      <c r="Q119" s="19"/>
      <c r="R119" s="19"/>
      <c r="S119" s="19"/>
      <c r="T119" s="19"/>
    </row>
    <row r="120" spans="1:20" ht="15" customHeight="1">
      <c r="A120" s="2"/>
      <c r="B120" s="239"/>
      <c r="C120" s="54" t="s">
        <v>197</v>
      </c>
      <c r="D120" s="240">
        <f>SUM(D93:D119)</f>
        <v>62220.75</v>
      </c>
      <c r="E120" s="240">
        <f>SUM(E93:E119)</f>
        <v>62220.75</v>
      </c>
      <c r="F120" s="240">
        <f>SUM(F93:F118)</f>
        <v>100002.41</v>
      </c>
      <c r="G120" s="41">
        <f>SUM(G93:G118)</f>
        <v>100002.41</v>
      </c>
      <c r="H120" s="41">
        <f>SUM(H93:H118)</f>
        <v>104274.31</v>
      </c>
      <c r="I120" s="41">
        <f>SUM(I93:I118)</f>
        <v>88648.03</v>
      </c>
      <c r="J120" s="519">
        <f>SUM(J93:J119)</f>
        <v>95665.449999999983</v>
      </c>
      <c r="K120" s="41">
        <v>72305.407000000007</v>
      </c>
      <c r="L120" s="351">
        <v>11994.91</v>
      </c>
      <c r="M120" s="12"/>
      <c r="N120" s="3"/>
      <c r="O120" s="3"/>
      <c r="P120" s="19"/>
      <c r="Q120" s="19"/>
      <c r="R120" s="19"/>
      <c r="S120" s="19"/>
      <c r="T120" s="19"/>
    </row>
    <row r="121" spans="1:20" ht="15.75" customHeight="1">
      <c r="A121" s="2"/>
      <c r="B121" s="299" t="s">
        <v>784</v>
      </c>
      <c r="C121" s="236"/>
      <c r="D121" s="236"/>
      <c r="E121" s="236"/>
      <c r="F121" s="236"/>
      <c r="G121" s="11"/>
      <c r="H121" s="11"/>
      <c r="I121" s="11"/>
      <c r="J121" s="517"/>
      <c r="K121" s="11"/>
      <c r="L121" s="236"/>
      <c r="M121" s="331"/>
      <c r="N121" s="5"/>
      <c r="O121" s="5"/>
      <c r="P121" s="19"/>
      <c r="Q121" s="19"/>
      <c r="R121" s="19"/>
      <c r="S121" s="19"/>
      <c r="T121" s="19"/>
    </row>
    <row r="122" spans="1:20" ht="15.75" customHeight="1">
      <c r="A122" s="138" t="s">
        <v>785</v>
      </c>
      <c r="B122" s="84" t="s">
        <v>786</v>
      </c>
      <c r="C122" s="84" t="s">
        <v>787</v>
      </c>
      <c r="D122" s="259">
        <v>30822</v>
      </c>
      <c r="E122" s="259">
        <v>30822</v>
      </c>
      <c r="F122" s="259">
        <v>16576</v>
      </c>
      <c r="G122" s="259">
        <v>16576</v>
      </c>
      <c r="H122" s="245">
        <v>14212.8</v>
      </c>
      <c r="I122" s="76">
        <v>11725</v>
      </c>
      <c r="J122" s="517">
        <v>16299.84</v>
      </c>
      <c r="K122" s="76">
        <v>13602.4</v>
      </c>
      <c r="L122" s="76">
        <v>10376.799999999999</v>
      </c>
      <c r="M122" s="464"/>
      <c r="N122" s="464"/>
      <c r="O122" s="464"/>
      <c r="P122" s="22"/>
      <c r="Q122" s="19"/>
      <c r="R122" s="19"/>
      <c r="S122" s="19"/>
      <c r="T122" s="19"/>
    </row>
    <row r="123" spans="1:20" ht="15.75" customHeight="1">
      <c r="A123" s="2"/>
      <c r="B123" s="84" t="s">
        <v>200</v>
      </c>
      <c r="C123" s="84" t="s">
        <v>788</v>
      </c>
      <c r="D123" s="259">
        <f>D122*0.0895</f>
        <v>2758.569</v>
      </c>
      <c r="E123" s="259">
        <f>E122*0.0895</f>
        <v>2758.569</v>
      </c>
      <c r="F123" s="259">
        <v>1160.32</v>
      </c>
      <c r="G123" s="259">
        <v>1160.32</v>
      </c>
      <c r="H123" s="250">
        <v>994.9</v>
      </c>
      <c r="I123" s="76">
        <v>820.75</v>
      </c>
      <c r="J123" s="517">
        <v>1054.6099999999999</v>
      </c>
      <c r="K123" s="76">
        <v>901.45</v>
      </c>
      <c r="L123" s="76">
        <v>684.79</v>
      </c>
      <c r="M123" s="464"/>
      <c r="N123" s="464"/>
      <c r="O123" s="464"/>
      <c r="P123" s="22"/>
      <c r="Q123" s="19"/>
      <c r="R123" s="19"/>
      <c r="S123" s="19"/>
      <c r="T123" s="19"/>
    </row>
    <row r="124" spans="1:20" ht="15.75" customHeight="1">
      <c r="A124" s="2"/>
      <c r="B124" s="84" t="s">
        <v>204</v>
      </c>
      <c r="C124" s="84" t="s">
        <v>789</v>
      </c>
      <c r="D124" s="259">
        <v>600</v>
      </c>
      <c r="E124" s="259">
        <v>600</v>
      </c>
      <c r="F124" s="259">
        <v>600</v>
      </c>
      <c r="G124" s="259">
        <v>600</v>
      </c>
      <c r="H124" s="251">
        <v>600</v>
      </c>
      <c r="I124" s="76">
        <v>600</v>
      </c>
      <c r="J124" s="517">
        <v>541.20000000000005</v>
      </c>
      <c r="K124" s="76">
        <v>541.19999999999993</v>
      </c>
      <c r="L124" s="76">
        <v>405.9</v>
      </c>
      <c r="M124" s="464"/>
      <c r="N124" s="464"/>
      <c r="O124" s="464"/>
      <c r="P124" s="22"/>
      <c r="Q124" s="19"/>
      <c r="R124" s="19"/>
      <c r="S124" s="19"/>
      <c r="T124" s="19"/>
    </row>
    <row r="125" spans="1:20" ht="15.75" customHeight="1">
      <c r="A125" s="2"/>
      <c r="B125" s="84" t="s">
        <v>206</v>
      </c>
      <c r="C125" s="84" t="s">
        <v>790</v>
      </c>
      <c r="D125" s="259">
        <v>50</v>
      </c>
      <c r="E125" s="259">
        <v>50</v>
      </c>
      <c r="F125" s="259">
        <v>50</v>
      </c>
      <c r="G125" s="259">
        <v>50</v>
      </c>
      <c r="H125" s="76">
        <v>50</v>
      </c>
      <c r="I125" s="76">
        <v>75</v>
      </c>
      <c r="J125" s="517"/>
      <c r="K125" s="76">
        <v>25.76</v>
      </c>
      <c r="L125" s="76">
        <v>25.76</v>
      </c>
      <c r="M125" s="12"/>
      <c r="N125" s="3"/>
      <c r="O125" s="3"/>
      <c r="P125" s="19"/>
      <c r="Q125" s="19"/>
      <c r="R125" s="19"/>
      <c r="S125" s="19"/>
      <c r="T125" s="19"/>
    </row>
    <row r="126" spans="1:20" ht="15.75" customHeight="1">
      <c r="A126" s="2"/>
      <c r="B126" s="84" t="s">
        <v>167</v>
      </c>
      <c r="C126" s="84" t="s">
        <v>791</v>
      </c>
      <c r="D126" s="259">
        <v>50</v>
      </c>
      <c r="E126" s="259">
        <v>50</v>
      </c>
      <c r="F126" s="259">
        <v>50</v>
      </c>
      <c r="G126" s="259">
        <v>50</v>
      </c>
      <c r="H126" s="76">
        <v>50</v>
      </c>
      <c r="I126" s="76">
        <v>50</v>
      </c>
      <c r="J126" s="517">
        <v>25.55</v>
      </c>
      <c r="K126" s="76">
        <v>11.49</v>
      </c>
      <c r="L126" s="76">
        <v>11.49</v>
      </c>
      <c r="M126" s="331"/>
      <c r="N126" s="5"/>
      <c r="O126" s="5"/>
      <c r="P126" s="19"/>
      <c r="Q126" s="19"/>
      <c r="R126" s="19"/>
      <c r="S126" s="19"/>
      <c r="T126" s="19"/>
    </row>
    <row r="127" spans="1:20" ht="15.75" customHeight="1">
      <c r="A127" s="2"/>
      <c r="B127" s="84" t="s">
        <v>169</v>
      </c>
      <c r="C127" s="84" t="s">
        <v>792</v>
      </c>
      <c r="D127" s="259">
        <v>100</v>
      </c>
      <c r="E127" s="259">
        <v>100</v>
      </c>
      <c r="F127" s="259">
        <v>225</v>
      </c>
      <c r="G127" s="259">
        <v>225</v>
      </c>
      <c r="H127" s="76">
        <v>25</v>
      </c>
      <c r="I127" s="76">
        <v>25</v>
      </c>
      <c r="J127" s="517">
        <v>66.180000000000007</v>
      </c>
      <c r="K127" s="76">
        <v>9.75</v>
      </c>
      <c r="L127" s="76">
        <v>9.75</v>
      </c>
      <c r="M127" s="464"/>
      <c r="N127" s="464"/>
      <c r="O127" s="464"/>
      <c r="P127" s="22"/>
      <c r="Q127" s="19"/>
      <c r="R127" s="19"/>
      <c r="S127" s="19"/>
      <c r="T127" s="19"/>
    </row>
    <row r="128" spans="1:20" ht="15.75" customHeight="1">
      <c r="A128" s="2"/>
      <c r="B128" s="352" t="s">
        <v>276</v>
      </c>
      <c r="C128" s="352" t="s">
        <v>793</v>
      </c>
      <c r="D128" s="259">
        <v>150</v>
      </c>
      <c r="E128" s="259">
        <v>150</v>
      </c>
      <c r="F128" s="259">
        <v>150</v>
      </c>
      <c r="G128" s="259">
        <v>150</v>
      </c>
      <c r="H128" s="76">
        <v>150</v>
      </c>
      <c r="I128" s="76">
        <v>250</v>
      </c>
      <c r="J128" s="517"/>
      <c r="K128" s="76">
        <v>0</v>
      </c>
      <c r="L128" s="293" t="s">
        <v>44</v>
      </c>
      <c r="M128" s="464"/>
      <c r="N128" s="464"/>
      <c r="O128" s="464"/>
      <c r="P128" s="22"/>
      <c r="Q128" s="19"/>
      <c r="R128" s="19"/>
      <c r="S128" s="19"/>
      <c r="T128" s="19"/>
    </row>
    <row r="129" spans="1:20" ht="15.75" customHeight="1">
      <c r="A129" s="19"/>
      <c r="B129" s="353" t="s">
        <v>794</v>
      </c>
      <c r="C129" s="354"/>
      <c r="D129" s="259">
        <v>200</v>
      </c>
      <c r="E129" s="259">
        <v>200</v>
      </c>
      <c r="F129" s="259"/>
      <c r="G129" s="259"/>
      <c r="H129" s="76"/>
      <c r="I129" s="76"/>
      <c r="J129" s="517"/>
      <c r="K129" s="76"/>
      <c r="L129" s="76"/>
      <c r="M129" s="464"/>
      <c r="N129" s="464"/>
      <c r="O129" s="464"/>
      <c r="P129" s="22"/>
      <c r="Q129" s="19"/>
      <c r="R129" s="19"/>
      <c r="S129" s="19"/>
      <c r="T129" s="19"/>
    </row>
    <row r="130" spans="1:20" ht="15.75" customHeight="1">
      <c r="A130" s="2"/>
      <c r="B130" s="355" t="s">
        <v>177</v>
      </c>
      <c r="C130" s="355" t="s">
        <v>795</v>
      </c>
      <c r="D130" s="356"/>
      <c r="E130" s="356"/>
      <c r="F130" s="356">
        <v>800</v>
      </c>
      <c r="G130" s="356">
        <v>800</v>
      </c>
      <c r="H130" s="120">
        <v>250</v>
      </c>
      <c r="I130" s="120">
        <v>250</v>
      </c>
      <c r="J130" s="518">
        <v>1739.61</v>
      </c>
      <c r="K130" s="120">
        <v>0</v>
      </c>
      <c r="L130" s="357" t="s">
        <v>44</v>
      </c>
      <c r="M130" s="464"/>
      <c r="N130" s="464"/>
      <c r="O130" s="464"/>
      <c r="P130" s="22"/>
      <c r="Q130" s="19"/>
      <c r="R130" s="19"/>
      <c r="S130" s="19"/>
      <c r="T130" s="19"/>
    </row>
    <row r="131" spans="1:20" ht="15.75" customHeight="1">
      <c r="A131" s="138" t="s">
        <v>796</v>
      </c>
      <c r="B131" s="239"/>
      <c r="C131" s="54" t="s">
        <v>197</v>
      </c>
      <c r="D131" s="240">
        <f t="shared" ref="D131" si="10">SUM(D122:D130)</f>
        <v>34730.569000000003</v>
      </c>
      <c r="E131" s="240">
        <f t="shared" ref="E131:J131" si="11">SUM(E122:E130)</f>
        <v>34730.569000000003</v>
      </c>
      <c r="F131" s="240">
        <f t="shared" si="11"/>
        <v>19611.32</v>
      </c>
      <c r="G131" s="358">
        <f t="shared" si="11"/>
        <v>19611.32</v>
      </c>
      <c r="H131" s="41">
        <f t="shared" si="11"/>
        <v>16332.699999999999</v>
      </c>
      <c r="I131" s="41">
        <f t="shared" si="11"/>
        <v>13795.75</v>
      </c>
      <c r="J131" s="519">
        <f t="shared" si="11"/>
        <v>19726.990000000002</v>
      </c>
      <c r="K131" s="41">
        <v>15092.05</v>
      </c>
      <c r="L131" s="41">
        <v>11514.49</v>
      </c>
      <c r="M131" s="12"/>
      <c r="N131" s="3"/>
      <c r="O131" s="3"/>
      <c r="P131" s="19"/>
      <c r="Q131" s="19"/>
      <c r="R131" s="19"/>
      <c r="S131" s="19"/>
      <c r="T131" s="19"/>
    </row>
    <row r="132" spans="1:20" ht="15.75" customHeight="1">
      <c r="A132" s="2"/>
      <c r="B132" s="299" t="s">
        <v>63</v>
      </c>
      <c r="C132" s="236"/>
      <c r="D132" s="236"/>
      <c r="E132" s="236"/>
      <c r="F132" s="236"/>
      <c r="G132" s="11"/>
      <c r="H132" s="11"/>
      <c r="I132" s="11"/>
      <c r="J132" s="517"/>
      <c r="K132" s="11"/>
      <c r="L132" s="11"/>
      <c r="M132" s="331"/>
      <c r="N132" s="5"/>
      <c r="O132" s="5"/>
      <c r="P132" s="19"/>
      <c r="Q132" s="19"/>
      <c r="R132" s="19"/>
      <c r="S132" s="19"/>
      <c r="T132" s="19"/>
    </row>
    <row r="133" spans="1:20" ht="15.75" customHeight="1">
      <c r="A133" s="2"/>
      <c r="B133" s="84" t="s">
        <v>198</v>
      </c>
      <c r="C133" s="84" t="s">
        <v>797</v>
      </c>
      <c r="D133" s="359">
        <v>27040.5</v>
      </c>
      <c r="E133" s="359">
        <v>27040.5</v>
      </c>
      <c r="F133" s="359">
        <v>27152</v>
      </c>
      <c r="G133" s="359">
        <v>27152</v>
      </c>
      <c r="H133" s="245">
        <v>14212.8</v>
      </c>
      <c r="I133" s="76">
        <v>13794</v>
      </c>
      <c r="J133" s="517">
        <v>25911.67</v>
      </c>
      <c r="K133" s="76">
        <v>13815.4</v>
      </c>
      <c r="L133" s="76">
        <v>10589.8</v>
      </c>
      <c r="M133" s="464"/>
      <c r="N133" s="464"/>
      <c r="O133" s="464"/>
      <c r="P133" s="22"/>
      <c r="Q133" s="19"/>
      <c r="R133" s="19"/>
      <c r="S133" s="19"/>
      <c r="T133" s="19"/>
    </row>
    <row r="134" spans="1:20" ht="15.75" customHeight="1">
      <c r="A134" s="2"/>
      <c r="B134" s="84" t="s">
        <v>200</v>
      </c>
      <c r="C134" s="84" t="s">
        <v>798</v>
      </c>
      <c r="D134" s="360">
        <f>D133*0.0895</f>
        <v>2420.1247499999999</v>
      </c>
      <c r="E134" s="360">
        <f>E133*0.0895</f>
        <v>2420.1247499999999</v>
      </c>
      <c r="F134" s="360">
        <v>1900.64</v>
      </c>
      <c r="G134" s="360">
        <v>1900.64</v>
      </c>
      <c r="H134" s="250">
        <v>994.9</v>
      </c>
      <c r="I134" s="76">
        <v>965.59</v>
      </c>
      <c r="J134" s="517">
        <v>1681.63</v>
      </c>
      <c r="K134" s="76">
        <v>918.88000000000011</v>
      </c>
      <c r="L134" s="76">
        <v>702.22</v>
      </c>
      <c r="M134" s="464"/>
      <c r="N134" s="464"/>
      <c r="O134" s="464"/>
      <c r="P134" s="22"/>
      <c r="Q134" s="19"/>
      <c r="R134" s="19"/>
      <c r="S134" s="19"/>
      <c r="T134" s="19"/>
    </row>
    <row r="135" spans="1:20" ht="15.75" customHeight="1">
      <c r="A135" s="2"/>
      <c r="B135" s="84" t="s">
        <v>799</v>
      </c>
      <c r="C135" s="84" t="s">
        <v>800</v>
      </c>
      <c r="D135" s="360">
        <v>10000</v>
      </c>
      <c r="E135" s="360">
        <v>10000</v>
      </c>
      <c r="F135" s="360">
        <v>7000</v>
      </c>
      <c r="G135" s="360">
        <v>7000</v>
      </c>
      <c r="H135" s="250">
        <v>4000</v>
      </c>
      <c r="I135" s="76">
        <v>5000</v>
      </c>
      <c r="J135" s="517">
        <v>-2803.41</v>
      </c>
      <c r="K135" s="76">
        <v>8196.19</v>
      </c>
      <c r="L135" s="76">
        <v>5685.26</v>
      </c>
      <c r="M135" s="464"/>
      <c r="N135" s="464"/>
      <c r="O135" s="464"/>
      <c r="P135" s="22"/>
      <c r="Q135" s="19"/>
      <c r="R135" s="19"/>
      <c r="S135" s="19"/>
      <c r="T135" s="19"/>
    </row>
    <row r="136" spans="1:20" ht="15.75" customHeight="1">
      <c r="A136" s="2"/>
      <c r="B136" s="84" t="s">
        <v>204</v>
      </c>
      <c r="C136" s="84" t="s">
        <v>801</v>
      </c>
      <c r="D136" s="360">
        <v>600</v>
      </c>
      <c r="E136" s="360">
        <v>600</v>
      </c>
      <c r="F136" s="360">
        <v>400</v>
      </c>
      <c r="G136" s="360">
        <v>400</v>
      </c>
      <c r="H136" s="250">
        <v>600</v>
      </c>
      <c r="I136" s="76">
        <v>600</v>
      </c>
      <c r="J136" s="517">
        <v>469.2</v>
      </c>
      <c r="K136" s="76">
        <v>469.2</v>
      </c>
      <c r="L136" s="76">
        <v>351.9</v>
      </c>
      <c r="M136" s="464"/>
      <c r="N136" s="464"/>
      <c r="O136" s="464"/>
      <c r="P136" s="22"/>
      <c r="Q136" s="19"/>
      <c r="R136" s="19"/>
      <c r="S136" s="19"/>
      <c r="T136" s="19"/>
    </row>
    <row r="137" spans="1:20" ht="15.75" customHeight="1">
      <c r="A137" s="2"/>
      <c r="B137" s="84" t="s">
        <v>206</v>
      </c>
      <c r="C137" s="84" t="s">
        <v>802</v>
      </c>
      <c r="D137" s="360">
        <v>50</v>
      </c>
      <c r="E137" s="360">
        <v>50</v>
      </c>
      <c r="F137" s="360">
        <v>50</v>
      </c>
      <c r="G137" s="360">
        <v>50</v>
      </c>
      <c r="H137" s="250">
        <v>50</v>
      </c>
      <c r="I137" s="76">
        <v>100</v>
      </c>
      <c r="J137" s="517">
        <v>92.18</v>
      </c>
      <c r="K137" s="76">
        <v>25.76</v>
      </c>
      <c r="L137" s="76">
        <v>25.76</v>
      </c>
      <c r="M137" s="464"/>
      <c r="N137" s="464"/>
      <c r="O137" s="464"/>
      <c r="P137" s="22"/>
      <c r="Q137" s="19"/>
      <c r="R137" s="19"/>
      <c r="S137" s="19"/>
      <c r="T137" s="19"/>
    </row>
    <row r="138" spans="1:20" ht="15.75" customHeight="1">
      <c r="A138" s="2"/>
      <c r="B138" s="84" t="s">
        <v>208</v>
      </c>
      <c r="C138" s="84" t="s">
        <v>803</v>
      </c>
      <c r="D138" s="360">
        <v>50</v>
      </c>
      <c r="E138" s="360">
        <v>50</v>
      </c>
      <c r="F138" s="360">
        <v>25</v>
      </c>
      <c r="G138" s="360">
        <v>25</v>
      </c>
      <c r="H138" s="250">
        <v>25</v>
      </c>
      <c r="I138" s="76">
        <v>25</v>
      </c>
      <c r="J138" s="517"/>
      <c r="K138" s="76">
        <v>0</v>
      </c>
      <c r="L138" s="293" t="s">
        <v>44</v>
      </c>
      <c r="M138" s="464"/>
      <c r="N138" s="464"/>
      <c r="O138" s="464"/>
      <c r="P138" s="22"/>
      <c r="Q138" s="19"/>
      <c r="R138" s="19"/>
      <c r="S138" s="19"/>
      <c r="T138" s="19"/>
    </row>
    <row r="139" spans="1:20" ht="15.75" customHeight="1">
      <c r="A139" s="2"/>
      <c r="B139" s="352" t="s">
        <v>167</v>
      </c>
      <c r="C139" s="352" t="s">
        <v>804</v>
      </c>
      <c r="D139" s="360">
        <v>50</v>
      </c>
      <c r="E139" s="360">
        <v>50</v>
      </c>
      <c r="F139" s="360">
        <v>50</v>
      </c>
      <c r="G139" s="360">
        <v>50</v>
      </c>
      <c r="H139" s="250">
        <v>81</v>
      </c>
      <c r="I139" s="76">
        <v>81</v>
      </c>
      <c r="J139" s="517">
        <v>658.69</v>
      </c>
      <c r="K139" s="76">
        <v>95.49</v>
      </c>
      <c r="L139" s="76">
        <v>11.49</v>
      </c>
      <c r="M139" s="464"/>
      <c r="N139" s="464"/>
      <c r="O139" s="464"/>
      <c r="P139" s="22"/>
      <c r="Q139" s="19"/>
      <c r="R139" s="19"/>
      <c r="S139" s="19"/>
      <c r="T139" s="19"/>
    </row>
    <row r="140" spans="1:20" ht="15.75" customHeight="1">
      <c r="A140" s="2"/>
      <c r="B140" s="348" t="s">
        <v>169</v>
      </c>
      <c r="C140" s="348" t="s">
        <v>805</v>
      </c>
      <c r="D140" s="361">
        <v>50</v>
      </c>
      <c r="E140" s="361">
        <v>50</v>
      </c>
      <c r="F140" s="361">
        <v>275</v>
      </c>
      <c r="G140" s="361">
        <v>275</v>
      </c>
      <c r="H140" s="250">
        <v>25</v>
      </c>
      <c r="I140" s="76">
        <v>25</v>
      </c>
      <c r="J140" s="517">
        <v>14.4</v>
      </c>
      <c r="K140" s="76">
        <v>5.6</v>
      </c>
      <c r="L140" s="76">
        <v>5.55</v>
      </c>
      <c r="M140" s="464"/>
      <c r="N140" s="464"/>
      <c r="O140" s="464"/>
      <c r="P140" s="22"/>
      <c r="Q140" s="19"/>
      <c r="R140" s="19"/>
      <c r="S140" s="19"/>
      <c r="T140" s="19"/>
    </row>
    <row r="141" spans="1:20" ht="15.75" customHeight="1">
      <c r="A141" s="268">
        <v>-8306.5300000000007</v>
      </c>
      <c r="B141" s="348" t="s">
        <v>276</v>
      </c>
      <c r="C141" s="348" t="s">
        <v>806</v>
      </c>
      <c r="D141" s="361">
        <v>200</v>
      </c>
      <c r="E141" s="361">
        <v>200</v>
      </c>
      <c r="F141" s="361">
        <v>200</v>
      </c>
      <c r="G141" s="361">
        <v>200</v>
      </c>
      <c r="H141" s="250">
        <v>250</v>
      </c>
      <c r="I141" s="76">
        <v>200</v>
      </c>
      <c r="J141" s="517">
        <v>143.78</v>
      </c>
      <c r="K141" s="76">
        <v>230.3</v>
      </c>
      <c r="L141" s="76">
        <v>111.85</v>
      </c>
      <c r="M141" s="464"/>
      <c r="N141" s="464"/>
      <c r="O141" s="464"/>
      <c r="P141" s="22"/>
      <c r="Q141" s="19"/>
      <c r="R141" s="19"/>
      <c r="S141" s="19"/>
      <c r="T141" s="19"/>
    </row>
    <row r="142" spans="1:20" ht="15.75" customHeight="1">
      <c r="A142" s="2"/>
      <c r="B142" s="348" t="s">
        <v>594</v>
      </c>
      <c r="C142" s="348" t="s">
        <v>807</v>
      </c>
      <c r="D142" s="361">
        <v>0</v>
      </c>
      <c r="E142" s="361">
        <v>0</v>
      </c>
      <c r="F142" s="361">
        <v>100</v>
      </c>
      <c r="G142" s="361">
        <v>100</v>
      </c>
      <c r="H142" s="251">
        <v>0</v>
      </c>
      <c r="I142" s="238"/>
      <c r="J142" s="517"/>
      <c r="K142" s="76">
        <v>0</v>
      </c>
      <c r="L142" s="76"/>
      <c r="M142" s="464"/>
      <c r="N142" s="464"/>
      <c r="O142" s="464"/>
      <c r="P142" s="22"/>
      <c r="Q142" s="19"/>
      <c r="R142" s="19"/>
      <c r="S142" s="19"/>
      <c r="T142" s="19"/>
    </row>
    <row r="143" spans="1:20" ht="15.75" customHeight="1">
      <c r="A143" s="2"/>
      <c r="B143" s="348" t="s">
        <v>764</v>
      </c>
      <c r="C143" s="348" t="s">
        <v>807</v>
      </c>
      <c r="D143" s="361">
        <v>100</v>
      </c>
      <c r="E143" s="361">
        <v>100</v>
      </c>
      <c r="F143" s="361">
        <v>650</v>
      </c>
      <c r="G143" s="361">
        <v>650</v>
      </c>
      <c r="H143" s="245">
        <v>500</v>
      </c>
      <c r="I143" s="76">
        <v>367.5</v>
      </c>
      <c r="J143" s="517"/>
      <c r="K143" s="76">
        <v>0</v>
      </c>
      <c r="L143" s="293" t="s">
        <v>44</v>
      </c>
      <c r="M143" s="96"/>
      <c r="N143" s="39"/>
      <c r="O143" s="39"/>
      <c r="P143" s="19"/>
      <c r="Q143" s="19"/>
      <c r="R143" s="19"/>
      <c r="S143" s="19"/>
      <c r="T143" s="19"/>
    </row>
    <row r="144" spans="1:20" ht="15.75" customHeight="1">
      <c r="A144" s="2"/>
      <c r="B144" s="348" t="s">
        <v>241</v>
      </c>
      <c r="C144" s="348" t="s">
        <v>808</v>
      </c>
      <c r="D144" s="361">
        <v>500</v>
      </c>
      <c r="E144" s="361">
        <v>500</v>
      </c>
      <c r="F144" s="361">
        <v>200</v>
      </c>
      <c r="G144" s="361">
        <v>200</v>
      </c>
      <c r="H144" s="250">
        <v>750</v>
      </c>
      <c r="I144" s="76">
        <v>750</v>
      </c>
      <c r="J144" s="517">
        <v>573.89</v>
      </c>
      <c r="K144" s="76">
        <v>134.35</v>
      </c>
      <c r="L144" s="76">
        <v>134.35</v>
      </c>
      <c r="M144" s="464"/>
      <c r="N144" s="464"/>
      <c r="O144" s="464"/>
      <c r="P144" s="22"/>
      <c r="Q144" s="19"/>
      <c r="R144" s="19"/>
      <c r="S144" s="19"/>
      <c r="T144" s="19"/>
    </row>
    <row r="145" spans="1:20" ht="15.75" customHeight="1">
      <c r="A145" s="2"/>
      <c r="B145" s="348" t="s">
        <v>794</v>
      </c>
      <c r="C145" s="362"/>
      <c r="D145" s="361">
        <v>200</v>
      </c>
      <c r="E145" s="361">
        <v>200</v>
      </c>
      <c r="F145" s="361"/>
      <c r="G145" s="361"/>
      <c r="H145" s="250"/>
      <c r="I145" s="76"/>
      <c r="J145" s="517"/>
      <c r="K145" s="76"/>
      <c r="L145" s="76"/>
      <c r="M145" s="464"/>
      <c r="N145" s="464"/>
      <c r="O145" s="464"/>
      <c r="P145" s="22"/>
      <c r="Q145" s="19"/>
      <c r="R145" s="19"/>
      <c r="S145" s="19"/>
      <c r="T145" s="19"/>
    </row>
    <row r="146" spans="1:20" ht="15.75" customHeight="1">
      <c r="A146" s="2"/>
      <c r="B146" s="348" t="s">
        <v>809</v>
      </c>
      <c r="C146" s="348" t="s">
        <v>810</v>
      </c>
      <c r="D146" s="361"/>
      <c r="E146" s="361"/>
      <c r="F146" s="361">
        <v>500</v>
      </c>
      <c r="G146" s="361">
        <v>500</v>
      </c>
      <c r="H146" s="250">
        <v>500</v>
      </c>
      <c r="I146" s="76">
        <v>500</v>
      </c>
      <c r="J146" s="517">
        <v>1838.29</v>
      </c>
      <c r="K146" s="76">
        <v>0</v>
      </c>
      <c r="L146" s="293" t="s">
        <v>44</v>
      </c>
      <c r="M146" s="464"/>
      <c r="N146" s="464"/>
      <c r="O146" s="464"/>
      <c r="P146" s="22"/>
      <c r="Q146" s="19"/>
      <c r="R146" s="19"/>
      <c r="S146" s="19"/>
      <c r="T146" s="19"/>
    </row>
    <row r="147" spans="1:20" ht="15.75" customHeight="1">
      <c r="A147" s="2"/>
      <c r="B147" s="363" t="s">
        <v>734</v>
      </c>
      <c r="C147" s="364"/>
      <c r="D147" s="365"/>
      <c r="E147" s="365"/>
      <c r="F147" s="365"/>
      <c r="G147" s="365"/>
      <c r="H147" s="365"/>
      <c r="I147" s="84" t="s">
        <v>44</v>
      </c>
      <c r="J147" s="517"/>
      <c r="K147" s="76"/>
      <c r="L147" s="76"/>
      <c r="M147" s="464"/>
      <c r="N147" s="464"/>
      <c r="O147" s="464"/>
      <c r="P147" s="22"/>
      <c r="Q147" s="19"/>
      <c r="R147" s="19"/>
      <c r="S147" s="19"/>
      <c r="T147" s="19"/>
    </row>
    <row r="148" spans="1:20" ht="15.75" customHeight="1">
      <c r="A148" s="2"/>
      <c r="B148" s="84" t="s">
        <v>811</v>
      </c>
      <c r="C148" s="84" t="s">
        <v>812</v>
      </c>
      <c r="D148" s="361">
        <v>-25000</v>
      </c>
      <c r="E148" s="361">
        <v>-25000</v>
      </c>
      <c r="F148" s="361">
        <v>-10000</v>
      </c>
      <c r="G148" s="361">
        <v>-10000</v>
      </c>
      <c r="H148" s="250">
        <v>-5000</v>
      </c>
      <c r="I148" s="84" t="s">
        <v>44</v>
      </c>
      <c r="J148" s="517">
        <v>-3735.9</v>
      </c>
      <c r="K148" s="76">
        <v>-7127.1200000000008</v>
      </c>
      <c r="L148" s="76">
        <v>-7384.75</v>
      </c>
      <c r="M148" s="464"/>
      <c r="N148" s="464"/>
      <c r="O148" s="464"/>
      <c r="P148" s="22"/>
      <c r="Q148" s="19"/>
      <c r="R148" s="19"/>
      <c r="S148" s="19"/>
      <c r="T148" s="19"/>
    </row>
    <row r="149" spans="1:20" ht="15.75" customHeight="1">
      <c r="A149" s="138" t="s">
        <v>813</v>
      </c>
      <c r="B149" s="90" t="s">
        <v>814</v>
      </c>
      <c r="C149" s="90" t="s">
        <v>815</v>
      </c>
      <c r="D149" s="366">
        <v>-15000</v>
      </c>
      <c r="E149" s="366">
        <v>-15000</v>
      </c>
      <c r="F149" s="366"/>
      <c r="G149" s="366"/>
      <c r="H149" s="355" t="s">
        <v>44</v>
      </c>
      <c r="I149" s="120">
        <v>-5000</v>
      </c>
      <c r="J149" s="518">
        <v>-10700</v>
      </c>
      <c r="K149" s="120">
        <v>10</v>
      </c>
      <c r="L149" s="357" t="s">
        <v>44</v>
      </c>
      <c r="M149" s="464"/>
      <c r="N149" s="464"/>
      <c r="O149" s="464"/>
      <c r="P149" s="22"/>
      <c r="Q149" s="19"/>
      <c r="R149" s="19"/>
      <c r="S149" s="19"/>
      <c r="T149" s="19"/>
    </row>
    <row r="150" spans="1:20" ht="15.75" customHeight="1">
      <c r="A150" s="2"/>
      <c r="B150" s="239"/>
      <c r="C150" s="54" t="s">
        <v>197</v>
      </c>
      <c r="D150" s="367">
        <f t="shared" ref="D150" si="12">SUM(D133:D149)</f>
        <v>1260.6247500000027</v>
      </c>
      <c r="E150" s="367">
        <f t="shared" ref="E150:J150" si="13">SUM(E133:E149)</f>
        <v>1260.6247500000027</v>
      </c>
      <c r="F150" s="367">
        <f t="shared" si="13"/>
        <v>28502.639999999999</v>
      </c>
      <c r="G150" s="358">
        <f t="shared" si="13"/>
        <v>28502.639999999999</v>
      </c>
      <c r="H150" s="41">
        <f t="shared" si="13"/>
        <v>16988.699999999997</v>
      </c>
      <c r="I150" s="41">
        <f t="shared" si="13"/>
        <v>17408.09</v>
      </c>
      <c r="J150" s="522">
        <f t="shared" si="13"/>
        <v>14144.419999999998</v>
      </c>
      <c r="K150" s="41">
        <v>16774.05</v>
      </c>
      <c r="L150" s="41">
        <v>10243.43</v>
      </c>
      <c r="M150" s="12"/>
      <c r="N150" s="3"/>
      <c r="O150" s="3"/>
      <c r="P150" s="19"/>
      <c r="Q150" s="19"/>
      <c r="R150" s="19"/>
      <c r="S150" s="19"/>
      <c r="T150" s="19"/>
    </row>
    <row r="151" spans="1:20" ht="15.75" customHeight="1">
      <c r="A151" s="2"/>
      <c r="B151" s="299" t="s">
        <v>67</v>
      </c>
      <c r="C151" s="236"/>
      <c r="D151" s="236"/>
      <c r="E151" s="236"/>
      <c r="F151" s="236"/>
      <c r="G151" s="368"/>
      <c r="H151" s="11"/>
      <c r="I151" s="11"/>
      <c r="J151" s="517"/>
      <c r="K151" s="11"/>
      <c r="L151" s="11"/>
      <c r="M151" s="331"/>
      <c r="N151" s="5"/>
      <c r="O151" s="5"/>
      <c r="P151" s="19"/>
      <c r="Q151" s="19"/>
      <c r="R151" s="19"/>
      <c r="S151" s="19"/>
      <c r="T151" s="19"/>
    </row>
    <row r="152" spans="1:20" ht="15.75" customHeight="1">
      <c r="A152" s="2"/>
      <c r="B152" s="84" t="s">
        <v>816</v>
      </c>
      <c r="C152" s="84" t="s">
        <v>817</v>
      </c>
      <c r="D152" s="369">
        <v>15822</v>
      </c>
      <c r="E152" s="369">
        <v>15822</v>
      </c>
      <c r="F152" s="369">
        <v>16576</v>
      </c>
      <c r="G152" s="369">
        <v>16576</v>
      </c>
      <c r="H152" s="245">
        <v>14212.8</v>
      </c>
      <c r="I152" s="76">
        <v>10888.7</v>
      </c>
      <c r="J152" s="517">
        <v>20930.14</v>
      </c>
      <c r="K152" s="76">
        <v>16071.68</v>
      </c>
      <c r="L152" s="76">
        <v>10835.33</v>
      </c>
      <c r="M152" s="464"/>
      <c r="N152" s="464"/>
      <c r="O152" s="464"/>
      <c r="P152" s="22"/>
      <c r="Q152" s="19"/>
      <c r="R152" s="19"/>
      <c r="S152" s="19"/>
      <c r="T152" s="19"/>
    </row>
    <row r="153" spans="1:20" ht="15.75" customHeight="1">
      <c r="A153" s="2"/>
      <c r="B153" s="84" t="s">
        <v>818</v>
      </c>
      <c r="C153" s="84" t="s">
        <v>819</v>
      </c>
      <c r="D153" s="361">
        <v>105000</v>
      </c>
      <c r="E153" s="361">
        <v>105000</v>
      </c>
      <c r="F153" s="361">
        <v>95000</v>
      </c>
      <c r="G153" s="361">
        <v>95000</v>
      </c>
      <c r="H153" s="250">
        <v>95000</v>
      </c>
      <c r="I153" s="76">
        <v>95000</v>
      </c>
      <c r="J153" s="517">
        <v>91449.65</v>
      </c>
      <c r="K153" s="76">
        <v>88698.09</v>
      </c>
      <c r="L153" s="76">
        <v>65703.91</v>
      </c>
      <c r="M153" s="467"/>
      <c r="N153" s="467"/>
      <c r="O153" s="467"/>
      <c r="P153" s="22"/>
      <c r="Q153" s="19"/>
      <c r="R153" s="19"/>
      <c r="S153" s="19"/>
      <c r="T153" s="19"/>
    </row>
    <row r="154" spans="1:20" ht="15.75" customHeight="1">
      <c r="A154" s="2"/>
      <c r="B154" s="84" t="s">
        <v>820</v>
      </c>
      <c r="C154" s="84" t="s">
        <v>821</v>
      </c>
      <c r="D154" s="361">
        <f>(D153+D152)*0.0895</f>
        <v>10813.569</v>
      </c>
      <c r="E154" s="361">
        <f>(E153+E152)*0.0895</f>
        <v>10813.569</v>
      </c>
      <c r="F154" s="361">
        <v>1160.32</v>
      </c>
      <c r="G154" s="361">
        <v>1160.32</v>
      </c>
      <c r="H154" s="250">
        <v>14197.66</v>
      </c>
      <c r="I154" s="76">
        <v>13765.53</v>
      </c>
      <c r="J154" s="517">
        <v>11158.6</v>
      </c>
      <c r="K154" s="76">
        <v>10117.76</v>
      </c>
      <c r="L154" s="76">
        <v>7230.37</v>
      </c>
      <c r="M154" s="464"/>
      <c r="N154" s="464"/>
      <c r="O154" s="464"/>
      <c r="P154" s="22"/>
      <c r="Q154" s="19"/>
      <c r="R154" s="19"/>
      <c r="S154" s="19"/>
      <c r="T154" s="19"/>
    </row>
    <row r="155" spans="1:20" ht="15.75" customHeight="1">
      <c r="A155" s="2"/>
      <c r="B155" s="84" t="s">
        <v>204</v>
      </c>
      <c r="C155" s="84" t="s">
        <v>822</v>
      </c>
      <c r="D155" s="361">
        <v>2500</v>
      </c>
      <c r="E155" s="361">
        <v>2500</v>
      </c>
      <c r="F155" s="361">
        <v>1500</v>
      </c>
      <c r="G155" s="361">
        <v>1500</v>
      </c>
      <c r="H155" s="250">
        <v>1500</v>
      </c>
      <c r="I155" s="76">
        <v>1500</v>
      </c>
      <c r="J155" s="517">
        <v>2338.4699999999998</v>
      </c>
      <c r="K155" s="76">
        <v>1546.42</v>
      </c>
      <c r="L155" s="76">
        <v>1143.42</v>
      </c>
      <c r="M155" s="464"/>
      <c r="N155" s="464"/>
      <c r="O155" s="464"/>
      <c r="P155" s="22"/>
      <c r="Q155" s="19"/>
      <c r="R155" s="19"/>
      <c r="S155" s="19"/>
      <c r="T155" s="19"/>
    </row>
    <row r="156" spans="1:20" ht="15.75" customHeight="1">
      <c r="A156" s="2"/>
      <c r="B156" s="84" t="s">
        <v>387</v>
      </c>
      <c r="C156" s="84" t="s">
        <v>823</v>
      </c>
      <c r="D156" s="361">
        <v>50</v>
      </c>
      <c r="E156" s="361">
        <v>50</v>
      </c>
      <c r="F156" s="361">
        <v>50</v>
      </c>
      <c r="G156" s="361">
        <v>50</v>
      </c>
      <c r="H156" s="250">
        <v>75</v>
      </c>
      <c r="I156" s="76">
        <v>150</v>
      </c>
      <c r="J156" s="517">
        <v>33.659999999999997</v>
      </c>
      <c r="K156" s="76">
        <v>112.83</v>
      </c>
      <c r="L156" s="76">
        <v>112.83</v>
      </c>
      <c r="M156" s="464"/>
      <c r="N156" s="464"/>
      <c r="O156" s="464"/>
      <c r="P156" s="22"/>
      <c r="Q156" s="19"/>
      <c r="R156" s="19"/>
      <c r="S156" s="19"/>
      <c r="T156" s="19"/>
    </row>
    <row r="157" spans="1:20" ht="15.75" customHeight="1">
      <c r="A157" s="2"/>
      <c r="B157" s="84" t="s">
        <v>167</v>
      </c>
      <c r="C157" s="84" t="s">
        <v>824</v>
      </c>
      <c r="D157" s="361">
        <v>50</v>
      </c>
      <c r="E157" s="361">
        <v>50</v>
      </c>
      <c r="F157" s="361">
        <v>50</v>
      </c>
      <c r="G157" s="361">
        <v>50</v>
      </c>
      <c r="H157" s="250">
        <v>150</v>
      </c>
      <c r="I157" s="76">
        <v>150</v>
      </c>
      <c r="J157" s="517">
        <v>129.63999999999999</v>
      </c>
      <c r="K157" s="76">
        <v>6433.48</v>
      </c>
      <c r="L157" s="76">
        <v>6433.48</v>
      </c>
      <c r="M157" s="464"/>
      <c r="N157" s="464"/>
      <c r="O157" s="464"/>
      <c r="P157" s="22"/>
      <c r="Q157" s="19"/>
      <c r="R157" s="19"/>
      <c r="S157" s="19"/>
      <c r="T157" s="19"/>
    </row>
    <row r="158" spans="1:20" ht="15.75" customHeight="1">
      <c r="A158" s="285" t="s">
        <v>825</v>
      </c>
      <c r="B158" s="84" t="s">
        <v>826</v>
      </c>
      <c r="C158" s="84" t="s">
        <v>827</v>
      </c>
      <c r="D158" s="370">
        <v>6500</v>
      </c>
      <c r="E158" s="370">
        <v>6500</v>
      </c>
      <c r="F158" s="370">
        <v>6500</v>
      </c>
      <c r="G158" s="370">
        <v>6500</v>
      </c>
      <c r="H158" s="250"/>
      <c r="I158" s="76"/>
      <c r="J158" s="517"/>
      <c r="K158" s="76">
        <v>0</v>
      </c>
      <c r="L158" s="76"/>
      <c r="M158" s="464"/>
      <c r="N158" s="464"/>
      <c r="O158" s="464"/>
      <c r="P158" s="22"/>
      <c r="Q158" s="19"/>
      <c r="R158" s="19"/>
      <c r="S158" s="19"/>
      <c r="T158" s="19"/>
    </row>
    <row r="159" spans="1:20" ht="15.75" customHeight="1">
      <c r="A159" s="2"/>
      <c r="B159" s="84" t="s">
        <v>169</v>
      </c>
      <c r="C159" s="84" t="s">
        <v>828</v>
      </c>
      <c r="D159" s="369">
        <v>100</v>
      </c>
      <c r="E159" s="369">
        <v>100</v>
      </c>
      <c r="F159" s="369">
        <v>300</v>
      </c>
      <c r="G159" s="369">
        <v>300</v>
      </c>
      <c r="H159" s="250">
        <v>100</v>
      </c>
      <c r="I159" s="76">
        <v>200</v>
      </c>
      <c r="J159" s="517">
        <v>71.430000000000007</v>
      </c>
      <c r="K159" s="76">
        <v>3.75</v>
      </c>
      <c r="L159" s="76">
        <v>2.1</v>
      </c>
      <c r="M159" s="464"/>
      <c r="N159" s="464"/>
      <c r="O159" s="464"/>
      <c r="P159" s="22"/>
      <c r="Q159" s="19"/>
      <c r="R159" s="19"/>
      <c r="S159" s="19"/>
      <c r="T159" s="19"/>
    </row>
    <row r="160" spans="1:20" ht="15.75" customHeight="1">
      <c r="A160" s="138" t="s">
        <v>829</v>
      </c>
      <c r="B160" s="84" t="s">
        <v>216</v>
      </c>
      <c r="C160" s="84" t="s">
        <v>830</v>
      </c>
      <c r="D160" s="361">
        <v>1500</v>
      </c>
      <c r="E160" s="361">
        <v>1500</v>
      </c>
      <c r="F160" s="361">
        <v>1500</v>
      </c>
      <c r="G160" s="361">
        <v>1500</v>
      </c>
      <c r="H160" s="250">
        <v>7434</v>
      </c>
      <c r="I160" s="76">
        <v>7000</v>
      </c>
      <c r="J160" s="517">
        <v>530.08000000000004</v>
      </c>
      <c r="K160" s="76">
        <v>10273.15</v>
      </c>
      <c r="L160" s="76">
        <v>2007.03</v>
      </c>
      <c r="M160" s="464"/>
      <c r="N160" s="464"/>
      <c r="O160" s="464"/>
      <c r="P160" s="22"/>
      <c r="Q160" s="19"/>
      <c r="R160" s="19"/>
      <c r="S160" s="19"/>
      <c r="T160" s="19"/>
    </row>
    <row r="161" spans="1:20" ht="15.75" customHeight="1">
      <c r="A161" s="138" t="s">
        <v>829</v>
      </c>
      <c r="B161" s="84" t="s">
        <v>831</v>
      </c>
      <c r="C161" s="84" t="s">
        <v>832</v>
      </c>
      <c r="D161" s="361">
        <v>8000</v>
      </c>
      <c r="E161" s="361">
        <v>8000</v>
      </c>
      <c r="F161" s="361">
        <v>7000</v>
      </c>
      <c r="G161" s="361">
        <v>7000</v>
      </c>
      <c r="H161" s="250">
        <v>1750</v>
      </c>
      <c r="I161" s="76">
        <v>1750</v>
      </c>
      <c r="J161" s="517">
        <v>7944.52</v>
      </c>
      <c r="K161" s="76">
        <v>2690.85</v>
      </c>
      <c r="L161" s="76">
        <v>6210.71</v>
      </c>
      <c r="M161" s="464"/>
      <c r="N161" s="464"/>
      <c r="O161" s="464"/>
      <c r="P161" s="22"/>
      <c r="Q161" s="19"/>
      <c r="R161" s="19"/>
      <c r="S161" s="19"/>
      <c r="T161" s="19"/>
    </row>
    <row r="162" spans="1:20" ht="15.75" customHeight="1">
      <c r="A162" s="2"/>
      <c r="B162" s="84" t="s">
        <v>764</v>
      </c>
      <c r="C162" s="84" t="s">
        <v>833</v>
      </c>
      <c r="D162" s="370">
        <v>500</v>
      </c>
      <c r="E162" s="370">
        <v>500</v>
      </c>
      <c r="F162" s="370">
        <v>750</v>
      </c>
      <c r="G162" s="370">
        <v>750</v>
      </c>
      <c r="H162" s="251">
        <v>1000</v>
      </c>
      <c r="I162" s="76">
        <v>1000</v>
      </c>
      <c r="J162" s="517">
        <v>818.9</v>
      </c>
      <c r="K162" s="76">
        <v>516.66</v>
      </c>
      <c r="L162" s="76">
        <v>264.16000000000003</v>
      </c>
      <c r="M162" s="464"/>
      <c r="N162" s="464"/>
      <c r="O162" s="464"/>
      <c r="P162" s="22"/>
      <c r="Q162" s="19"/>
      <c r="R162" s="19"/>
      <c r="S162" s="19"/>
      <c r="T162" s="19"/>
    </row>
    <row r="163" spans="1:20" ht="15.75" customHeight="1">
      <c r="A163" s="2"/>
      <c r="B163" s="84" t="s">
        <v>834</v>
      </c>
      <c r="C163" s="304"/>
      <c r="D163" s="259">
        <v>200</v>
      </c>
      <c r="E163" s="259">
        <v>200</v>
      </c>
      <c r="F163" s="259"/>
      <c r="G163" s="259"/>
      <c r="H163" s="76"/>
      <c r="I163" s="76"/>
      <c r="J163" s="517"/>
      <c r="K163" s="76"/>
      <c r="L163" s="76"/>
      <c r="M163" s="464"/>
      <c r="N163" s="464"/>
      <c r="O163" s="464"/>
      <c r="P163" s="22"/>
      <c r="Q163" s="19"/>
      <c r="R163" s="19"/>
      <c r="S163" s="19"/>
      <c r="T163" s="19"/>
    </row>
    <row r="164" spans="1:20" ht="15.75" customHeight="1">
      <c r="A164" s="2"/>
      <c r="B164" s="84" t="s">
        <v>770</v>
      </c>
      <c r="C164" s="84" t="s">
        <v>835</v>
      </c>
      <c r="D164" s="259">
        <v>500</v>
      </c>
      <c r="E164" s="259">
        <v>500</v>
      </c>
      <c r="F164" s="259">
        <v>500</v>
      </c>
      <c r="G164" s="259">
        <v>500</v>
      </c>
      <c r="H164" s="76">
        <v>2800</v>
      </c>
      <c r="I164" s="134"/>
      <c r="J164" s="517">
        <v>109.34</v>
      </c>
      <c r="K164" s="76">
        <v>0</v>
      </c>
      <c r="L164" s="76"/>
      <c r="M164" s="464"/>
      <c r="N164" s="464"/>
      <c r="O164" s="464"/>
      <c r="P164" s="22"/>
      <c r="Q164" s="19"/>
      <c r="R164" s="19"/>
      <c r="S164" s="19"/>
      <c r="T164" s="19"/>
    </row>
    <row r="165" spans="1:20" ht="15.75" customHeight="1">
      <c r="A165" s="2"/>
      <c r="B165" s="84" t="s">
        <v>177</v>
      </c>
      <c r="C165" s="84" t="s">
        <v>836</v>
      </c>
      <c r="D165" s="259"/>
      <c r="E165" s="259"/>
      <c r="F165" s="259">
        <v>500</v>
      </c>
      <c r="G165" s="259">
        <v>500</v>
      </c>
      <c r="H165" s="76">
        <v>500</v>
      </c>
      <c r="I165" s="76">
        <v>500</v>
      </c>
      <c r="J165" s="517">
        <v>1206.0899999999999</v>
      </c>
      <c r="K165" s="76">
        <v>0</v>
      </c>
      <c r="L165" s="293" t="s">
        <v>44</v>
      </c>
      <c r="M165" s="464"/>
      <c r="N165" s="464"/>
      <c r="O165" s="464"/>
      <c r="P165" s="22"/>
      <c r="Q165" s="19"/>
      <c r="R165" s="19"/>
      <c r="S165" s="19"/>
      <c r="T165" s="19"/>
    </row>
    <row r="166" spans="1:20" ht="15.75" customHeight="1">
      <c r="A166" s="2"/>
      <c r="B166" s="308" t="s">
        <v>734</v>
      </c>
      <c r="C166" s="309"/>
      <c r="D166" s="134"/>
      <c r="E166" s="134"/>
      <c r="F166" s="134"/>
      <c r="G166" s="134"/>
      <c r="H166" s="134"/>
      <c r="I166" s="84" t="s">
        <v>44</v>
      </c>
      <c r="J166" s="517"/>
      <c r="K166" s="76">
        <v>0</v>
      </c>
      <c r="L166" s="76"/>
      <c r="M166" s="464"/>
      <c r="N166" s="464"/>
      <c r="O166" s="464"/>
      <c r="P166" s="22"/>
      <c r="Q166" s="19"/>
      <c r="R166" s="19"/>
      <c r="S166" s="19"/>
      <c r="T166" s="19"/>
    </row>
    <row r="167" spans="1:20" ht="15.75" customHeight="1">
      <c r="A167" s="2"/>
      <c r="B167" s="90" t="s">
        <v>837</v>
      </c>
      <c r="C167" s="90" t="s">
        <v>838</v>
      </c>
      <c r="D167" s="265">
        <v>-25000</v>
      </c>
      <c r="E167" s="265">
        <v>-25000</v>
      </c>
      <c r="F167" s="265">
        <v>-25000</v>
      </c>
      <c r="G167" s="265">
        <v>-25000</v>
      </c>
      <c r="H167" s="120">
        <v>0</v>
      </c>
      <c r="I167" s="90" t="s">
        <v>44</v>
      </c>
      <c r="J167" s="518">
        <v>-18750</v>
      </c>
      <c r="K167" s="120">
        <v>-25100</v>
      </c>
      <c r="L167" s="357" t="s">
        <v>44</v>
      </c>
      <c r="M167" s="464"/>
      <c r="N167" s="464"/>
      <c r="O167" s="464"/>
      <c r="P167" s="22"/>
      <c r="Q167" s="19"/>
      <c r="R167" s="19"/>
      <c r="S167" s="19"/>
      <c r="T167" s="19"/>
    </row>
    <row r="168" spans="1:20" ht="15.75" customHeight="1">
      <c r="A168" s="2"/>
      <c r="B168" s="239"/>
      <c r="C168" s="54" t="s">
        <v>197</v>
      </c>
      <c r="D168" s="240">
        <f t="shared" ref="D168" si="14">SUM(D152:D167)</f>
        <v>126535.56899999999</v>
      </c>
      <c r="E168" s="240">
        <f t="shared" ref="E168:J168" si="15">SUM(E152:E167)</f>
        <v>126535.56899999999</v>
      </c>
      <c r="F168" s="240">
        <f t="shared" si="15"/>
        <v>106386.32</v>
      </c>
      <c r="G168" s="340">
        <f t="shared" si="15"/>
        <v>106386.32</v>
      </c>
      <c r="H168" s="41">
        <f t="shared" si="15"/>
        <v>138719.46000000002</v>
      </c>
      <c r="I168" s="41">
        <f t="shared" si="15"/>
        <v>131904.22999999998</v>
      </c>
      <c r="J168" s="519">
        <f t="shared" si="15"/>
        <v>117970.51999999999</v>
      </c>
      <c r="K168" s="41">
        <v>111364.67</v>
      </c>
      <c r="L168" s="41">
        <v>99943.34</v>
      </c>
      <c r="M168" s="12"/>
      <c r="N168" s="3"/>
      <c r="O168" s="3"/>
      <c r="P168" s="19"/>
      <c r="Q168" s="19"/>
      <c r="R168" s="19"/>
      <c r="S168" s="19"/>
      <c r="T168" s="19"/>
    </row>
    <row r="169" spans="1:20" ht="15.75" customHeight="1">
      <c r="A169" s="2"/>
      <c r="B169" s="299" t="s">
        <v>73</v>
      </c>
      <c r="C169" s="236"/>
      <c r="D169" s="236"/>
      <c r="E169" s="236"/>
      <c r="F169" s="236"/>
      <c r="G169" s="11"/>
      <c r="H169" s="11"/>
      <c r="I169" s="11"/>
      <c r="J169" s="517"/>
      <c r="K169" s="11"/>
      <c r="L169" s="11"/>
      <c r="M169" s="331"/>
      <c r="N169" s="5"/>
      <c r="O169" s="5"/>
      <c r="P169" s="19"/>
      <c r="Q169" s="19"/>
      <c r="R169" s="19"/>
      <c r="S169" s="19"/>
      <c r="T169" s="19"/>
    </row>
    <row r="170" spans="1:20" ht="15.75" customHeight="1">
      <c r="A170" s="2"/>
      <c r="B170" s="84" t="s">
        <v>816</v>
      </c>
      <c r="C170" s="84" t="s">
        <v>839</v>
      </c>
      <c r="D170" s="371">
        <v>27040.5</v>
      </c>
      <c r="E170" s="371">
        <v>27040.5</v>
      </c>
      <c r="F170" s="371">
        <v>31897.599999999999</v>
      </c>
      <c r="G170" s="371">
        <v>31897.599999999999</v>
      </c>
      <c r="H170" s="76">
        <v>26143.18</v>
      </c>
      <c r="I170" s="76">
        <v>22569</v>
      </c>
      <c r="J170" s="517">
        <v>33588.28</v>
      </c>
      <c r="K170" s="76">
        <v>27879</v>
      </c>
      <c r="L170" s="76">
        <v>20863.8</v>
      </c>
      <c r="M170" s="464"/>
      <c r="N170" s="464"/>
      <c r="O170" s="464"/>
      <c r="P170" s="22"/>
      <c r="Q170" s="19"/>
      <c r="R170" s="19"/>
      <c r="S170" s="19"/>
      <c r="T170" s="19"/>
    </row>
    <row r="171" spans="1:20" ht="15.75" customHeight="1">
      <c r="A171" s="2"/>
      <c r="B171" s="84" t="s">
        <v>200</v>
      </c>
      <c r="C171" s="84" t="s">
        <v>840</v>
      </c>
      <c r="D171" s="372">
        <f>D170*0.0895</f>
        <v>2420.1247499999999</v>
      </c>
      <c r="E171" s="372">
        <f>E170*0.0895</f>
        <v>2420.1247499999999</v>
      </c>
      <c r="F171" s="372">
        <v>2232.83</v>
      </c>
      <c r="G171" s="372">
        <v>2232.83</v>
      </c>
      <c r="H171" s="76">
        <v>1830.02</v>
      </c>
      <c r="I171" s="76">
        <v>1579.83</v>
      </c>
      <c r="J171" s="517">
        <v>2182.17</v>
      </c>
      <c r="K171" s="76">
        <v>1870.12</v>
      </c>
      <c r="L171" s="76">
        <v>1394.42</v>
      </c>
      <c r="M171" s="464"/>
      <c r="N171" s="464"/>
      <c r="O171" s="464"/>
      <c r="P171" s="22"/>
      <c r="Q171" s="19"/>
      <c r="R171" s="19"/>
      <c r="S171" s="19"/>
      <c r="T171" s="19"/>
    </row>
    <row r="172" spans="1:20" ht="15.75" customHeight="1">
      <c r="A172" s="2"/>
      <c r="B172" s="84" t="s">
        <v>204</v>
      </c>
      <c r="C172" s="84" t="s">
        <v>841</v>
      </c>
      <c r="D172" s="371">
        <v>1500</v>
      </c>
      <c r="E172" s="371">
        <v>1500</v>
      </c>
      <c r="F172" s="371">
        <v>1500</v>
      </c>
      <c r="G172" s="371">
        <v>1500</v>
      </c>
      <c r="H172" s="76">
        <v>1500</v>
      </c>
      <c r="I172" s="76">
        <v>1500</v>
      </c>
      <c r="J172" s="517">
        <v>1010.4</v>
      </c>
      <c r="K172" s="76">
        <v>1274.76</v>
      </c>
      <c r="L172" s="76">
        <v>1022.16</v>
      </c>
      <c r="M172" s="464"/>
      <c r="N172" s="464"/>
      <c r="O172" s="464"/>
      <c r="P172" s="22"/>
      <c r="Q172" s="19"/>
      <c r="R172" s="19"/>
      <c r="S172" s="19"/>
      <c r="T172" s="19"/>
    </row>
    <row r="173" spans="1:20" ht="15.75" customHeight="1">
      <c r="A173" s="2"/>
      <c r="B173" s="84" t="s">
        <v>387</v>
      </c>
      <c r="C173" s="84" t="s">
        <v>842</v>
      </c>
      <c r="D173" s="371">
        <v>150</v>
      </c>
      <c r="E173" s="371">
        <v>150</v>
      </c>
      <c r="F173" s="371">
        <v>125</v>
      </c>
      <c r="G173" s="371">
        <v>125</v>
      </c>
      <c r="H173" s="76">
        <v>125</v>
      </c>
      <c r="I173" s="76">
        <v>150</v>
      </c>
      <c r="J173" s="517">
        <v>42.11</v>
      </c>
      <c r="K173" s="76">
        <v>104.23</v>
      </c>
      <c r="L173" s="76">
        <v>98.76</v>
      </c>
      <c r="M173" s="12"/>
      <c r="N173" s="3"/>
      <c r="O173" s="3"/>
      <c r="P173" s="19"/>
      <c r="Q173" s="19"/>
      <c r="R173" s="19"/>
      <c r="S173" s="19"/>
      <c r="T173" s="19"/>
    </row>
    <row r="174" spans="1:20" ht="15.75" customHeight="1">
      <c r="A174" s="2"/>
      <c r="B174" s="84" t="s">
        <v>167</v>
      </c>
      <c r="C174" s="84" t="s">
        <v>843</v>
      </c>
      <c r="D174" s="371">
        <v>150</v>
      </c>
      <c r="E174" s="371">
        <v>150</v>
      </c>
      <c r="F174" s="371">
        <v>850</v>
      </c>
      <c r="G174" s="371">
        <v>850</v>
      </c>
      <c r="H174" s="76">
        <v>522</v>
      </c>
      <c r="I174" s="76">
        <v>522</v>
      </c>
      <c r="J174" s="517">
        <v>2110.92</v>
      </c>
      <c r="K174" s="76">
        <v>403.49</v>
      </c>
      <c r="L174" s="76">
        <v>171.34</v>
      </c>
      <c r="M174" s="22"/>
      <c r="N174" s="19"/>
      <c r="O174" s="19"/>
      <c r="P174" s="19"/>
      <c r="Q174" s="19"/>
      <c r="R174" s="19"/>
      <c r="S174" s="19"/>
      <c r="T174" s="19"/>
    </row>
    <row r="175" spans="1:20" ht="15.75" customHeight="1">
      <c r="A175" s="2"/>
      <c r="B175" s="84" t="s">
        <v>169</v>
      </c>
      <c r="C175" s="84" t="s">
        <v>844</v>
      </c>
      <c r="D175" s="371">
        <v>50</v>
      </c>
      <c r="E175" s="371">
        <v>50</v>
      </c>
      <c r="F175" s="371">
        <v>250</v>
      </c>
      <c r="G175" s="371">
        <v>250</v>
      </c>
      <c r="H175" s="76">
        <v>50</v>
      </c>
      <c r="I175" s="76">
        <v>50</v>
      </c>
      <c r="J175" s="517">
        <v>244.08</v>
      </c>
      <c r="K175" s="76">
        <v>3.25</v>
      </c>
      <c r="L175" s="76">
        <v>3.25</v>
      </c>
      <c r="M175" s="331"/>
      <c r="N175" s="5"/>
      <c r="O175" s="5"/>
      <c r="P175" s="19"/>
      <c r="Q175" s="19"/>
      <c r="R175" s="19"/>
      <c r="S175" s="19"/>
      <c r="T175" s="19"/>
    </row>
    <row r="176" spans="1:20" ht="15.75" customHeight="1">
      <c r="A176" s="2"/>
      <c r="B176" s="84" t="s">
        <v>216</v>
      </c>
      <c r="C176" s="84" t="s">
        <v>845</v>
      </c>
      <c r="D176" s="372">
        <v>150</v>
      </c>
      <c r="E176" s="372">
        <v>150</v>
      </c>
      <c r="F176" s="372">
        <v>150</v>
      </c>
      <c r="G176" s="372">
        <v>150</v>
      </c>
      <c r="H176" s="76">
        <v>0</v>
      </c>
      <c r="I176" s="84" t="s">
        <v>44</v>
      </c>
      <c r="J176" s="517">
        <v>52.92</v>
      </c>
      <c r="K176" s="76">
        <v>0</v>
      </c>
      <c r="L176" s="293" t="s">
        <v>44</v>
      </c>
      <c r="M176" s="464"/>
      <c r="N176" s="464"/>
      <c r="O176" s="464"/>
      <c r="P176" s="22"/>
      <c r="Q176" s="19"/>
      <c r="R176" s="19"/>
      <c r="S176" s="19"/>
      <c r="T176" s="19"/>
    </row>
    <row r="177" spans="1:20" ht="15.75" customHeight="1">
      <c r="A177" s="2"/>
      <c r="B177" s="90" t="s">
        <v>687</v>
      </c>
      <c r="C177" s="84" t="s">
        <v>846</v>
      </c>
      <c r="D177" s="371">
        <v>5500</v>
      </c>
      <c r="E177" s="371">
        <v>5500</v>
      </c>
      <c r="F177" s="371">
        <v>5700</v>
      </c>
      <c r="G177" s="371">
        <v>5700</v>
      </c>
      <c r="H177" s="76">
        <v>13500</v>
      </c>
      <c r="I177" s="76">
        <v>13500</v>
      </c>
      <c r="J177" s="517">
        <v>2841.88</v>
      </c>
      <c r="K177" s="76">
        <v>0</v>
      </c>
      <c r="L177" s="293" t="s">
        <v>44</v>
      </c>
      <c r="M177" s="464"/>
      <c r="N177" s="464"/>
      <c r="O177" s="464"/>
      <c r="P177" s="22"/>
      <c r="Q177" s="19"/>
      <c r="R177" s="19"/>
      <c r="S177" s="19"/>
      <c r="T177" s="19"/>
    </row>
    <row r="178" spans="1:20" ht="15.75" customHeight="1">
      <c r="A178" s="2"/>
      <c r="B178" s="373" t="s">
        <v>847</v>
      </c>
      <c r="C178" s="304"/>
      <c r="D178" s="259">
        <v>5500</v>
      </c>
      <c r="E178" s="259">
        <v>5500</v>
      </c>
      <c r="F178" s="259"/>
      <c r="G178" s="259"/>
      <c r="H178" s="76"/>
      <c r="I178" s="76"/>
      <c r="J178" s="517"/>
      <c r="K178" s="76"/>
      <c r="L178" s="76"/>
      <c r="M178" s="464"/>
      <c r="N178" s="464"/>
      <c r="O178" s="464"/>
      <c r="P178" s="22"/>
      <c r="Q178" s="19"/>
      <c r="R178" s="19"/>
      <c r="S178" s="19"/>
      <c r="T178" s="19"/>
    </row>
    <row r="179" spans="1:20" ht="15.75" customHeight="1">
      <c r="A179" s="2"/>
      <c r="B179" s="373" t="s">
        <v>794</v>
      </c>
      <c r="C179" s="304"/>
      <c r="D179" s="259">
        <v>200</v>
      </c>
      <c r="E179" s="259">
        <v>200</v>
      </c>
      <c r="F179" s="259"/>
      <c r="G179" s="259"/>
      <c r="H179" s="76"/>
      <c r="I179" s="76"/>
      <c r="J179" s="517"/>
      <c r="K179" s="76"/>
      <c r="L179" s="76"/>
      <c r="M179" s="464"/>
      <c r="N179" s="464"/>
      <c r="O179" s="464"/>
      <c r="P179" s="22"/>
      <c r="Q179" s="19"/>
      <c r="R179" s="19"/>
      <c r="S179" s="19"/>
      <c r="T179" s="19"/>
    </row>
    <row r="180" spans="1:20" ht="15.75" customHeight="1">
      <c r="A180" s="2"/>
      <c r="B180" s="163" t="s">
        <v>241</v>
      </c>
      <c r="C180" s="84" t="s">
        <v>848</v>
      </c>
      <c r="D180" s="259">
        <v>1000</v>
      </c>
      <c r="E180" s="259">
        <v>1000</v>
      </c>
      <c r="F180" s="259">
        <v>500</v>
      </c>
      <c r="G180" s="259">
        <v>500</v>
      </c>
      <c r="H180" s="76">
        <v>1500</v>
      </c>
      <c r="I180" s="76">
        <v>1500</v>
      </c>
      <c r="J180" s="517">
        <v>2504.23</v>
      </c>
      <c r="K180" s="76">
        <v>13995.46</v>
      </c>
      <c r="L180" s="76">
        <v>11157.32</v>
      </c>
      <c r="M180" s="464"/>
      <c r="N180" s="464"/>
      <c r="O180" s="464"/>
      <c r="P180" s="22"/>
      <c r="Q180" s="19"/>
      <c r="R180" s="19"/>
      <c r="S180" s="19"/>
      <c r="T180" s="19"/>
    </row>
    <row r="181" spans="1:20" ht="15.75" customHeight="1">
      <c r="A181" s="2"/>
      <c r="B181" s="90" t="s">
        <v>177</v>
      </c>
      <c r="C181" s="90" t="s">
        <v>849</v>
      </c>
      <c r="D181" s="356"/>
      <c r="E181" s="356"/>
      <c r="F181" s="356">
        <v>200</v>
      </c>
      <c r="G181" s="356">
        <v>200</v>
      </c>
      <c r="H181" s="120">
        <v>700</v>
      </c>
      <c r="I181" s="120">
        <v>500</v>
      </c>
      <c r="J181" s="518">
        <v>1363.63</v>
      </c>
      <c r="K181" s="120">
        <v>359.21</v>
      </c>
      <c r="L181" s="120">
        <v>152.53</v>
      </c>
      <c r="M181" s="464"/>
      <c r="N181" s="464"/>
      <c r="O181" s="464"/>
      <c r="P181" s="22"/>
      <c r="Q181" s="19"/>
      <c r="R181" s="19"/>
      <c r="S181" s="19"/>
      <c r="T181" s="19"/>
    </row>
    <row r="182" spans="1:20" ht="15.75" customHeight="1">
      <c r="A182" s="2"/>
      <c r="B182" s="239"/>
      <c r="C182" s="54" t="s">
        <v>197</v>
      </c>
      <c r="D182" s="367">
        <f t="shared" ref="D182" si="16">SUM(D170:D181)</f>
        <v>43660.624750000003</v>
      </c>
      <c r="E182" s="367">
        <f t="shared" ref="E182:J182" si="17">SUM(E170:E181)</f>
        <v>43660.624750000003</v>
      </c>
      <c r="F182" s="367">
        <f t="shared" si="17"/>
        <v>43405.43</v>
      </c>
      <c r="G182" s="340">
        <f t="shared" si="17"/>
        <v>43405.43</v>
      </c>
      <c r="H182" s="41">
        <f t="shared" si="17"/>
        <v>45870.2</v>
      </c>
      <c r="I182" s="41">
        <f t="shared" si="17"/>
        <v>41870.83</v>
      </c>
      <c r="J182" s="522">
        <f t="shared" si="17"/>
        <v>45940.619999999995</v>
      </c>
      <c r="K182" s="41">
        <v>45889.52</v>
      </c>
      <c r="L182" s="41">
        <v>34863.58</v>
      </c>
      <c r="M182" s="12"/>
      <c r="N182" s="3"/>
      <c r="O182" s="3"/>
      <c r="P182" s="19"/>
      <c r="Q182" s="19"/>
      <c r="R182" s="19"/>
      <c r="S182" s="19"/>
      <c r="T182" s="19"/>
    </row>
    <row r="183" spans="1:20" ht="15.75" customHeight="1">
      <c r="A183" s="2"/>
      <c r="B183" s="299" t="s">
        <v>850</v>
      </c>
      <c r="C183" s="236"/>
      <c r="D183" s="236"/>
      <c r="E183" s="236"/>
      <c r="F183" s="236"/>
      <c r="G183" s="11"/>
      <c r="H183" s="11"/>
      <c r="I183" s="11"/>
      <c r="J183" s="517"/>
      <c r="K183" s="70"/>
      <c r="L183" s="70"/>
      <c r="M183" s="22"/>
      <c r="N183" s="19"/>
      <c r="O183" s="19"/>
      <c r="P183" s="19"/>
      <c r="Q183" s="19"/>
      <c r="R183" s="19"/>
      <c r="S183" s="19"/>
      <c r="T183" s="19"/>
    </row>
    <row r="184" spans="1:20" ht="15.75" customHeight="1">
      <c r="A184" s="2"/>
      <c r="B184" s="84" t="s">
        <v>851</v>
      </c>
      <c r="C184" s="84" t="s">
        <v>852</v>
      </c>
      <c r="D184" s="374">
        <v>27040.5</v>
      </c>
      <c r="E184" s="374">
        <v>27040.5</v>
      </c>
      <c r="F184" s="374">
        <v>28067.200000000001</v>
      </c>
      <c r="G184" s="374">
        <v>28067.200000000001</v>
      </c>
      <c r="H184" s="76">
        <v>19756.099999999999</v>
      </c>
      <c r="I184" s="76">
        <v>22569</v>
      </c>
      <c r="J184" s="517">
        <v>34058.99</v>
      </c>
      <c r="K184" s="76">
        <v>20140.330000000002</v>
      </c>
      <c r="L184" s="76">
        <v>14677.33</v>
      </c>
      <c r="M184" s="331"/>
      <c r="N184" s="5"/>
      <c r="O184" s="5"/>
      <c r="P184" s="19"/>
      <c r="Q184" s="19"/>
      <c r="R184" s="19"/>
      <c r="S184" s="19"/>
      <c r="T184" s="19"/>
    </row>
    <row r="185" spans="1:20" ht="15.75" customHeight="1">
      <c r="A185" s="2"/>
      <c r="B185" s="84" t="s">
        <v>853</v>
      </c>
      <c r="C185" s="84" t="s">
        <v>854</v>
      </c>
      <c r="D185" s="374">
        <v>34500</v>
      </c>
      <c r="E185" s="374">
        <v>34500</v>
      </c>
      <c r="F185" s="374">
        <v>64000</v>
      </c>
      <c r="G185" s="374">
        <v>64000</v>
      </c>
      <c r="H185" s="76">
        <v>56000</v>
      </c>
      <c r="I185" s="76">
        <v>72000</v>
      </c>
      <c r="J185" s="517">
        <v>39845.589999999997</v>
      </c>
      <c r="K185" s="76">
        <v>32788.410000000003</v>
      </c>
      <c r="L185" s="76">
        <v>20392.34</v>
      </c>
      <c r="M185" s="464"/>
      <c r="N185" s="464"/>
      <c r="O185" s="464"/>
      <c r="P185" s="22"/>
      <c r="Q185" s="19"/>
      <c r="R185" s="19"/>
      <c r="S185" s="19"/>
      <c r="T185" s="19"/>
    </row>
    <row r="186" spans="1:20" ht="15.75" customHeight="1">
      <c r="A186" s="2"/>
      <c r="B186" s="84" t="s">
        <v>200</v>
      </c>
      <c r="C186" s="84" t="s">
        <v>855</v>
      </c>
      <c r="D186" s="372">
        <v>10500</v>
      </c>
      <c r="E186" s="372">
        <v>10500</v>
      </c>
      <c r="F186" s="372">
        <f>F184*0.07</f>
        <v>1964.7040000000002</v>
      </c>
      <c r="G186" s="372">
        <f>G184*0.07</f>
        <v>1964.7040000000002</v>
      </c>
      <c r="H186" s="76">
        <v>10251.61</v>
      </c>
      <c r="I186" s="76">
        <v>14185.36</v>
      </c>
      <c r="J186" s="517">
        <v>9959.2199999999993</v>
      </c>
      <c r="K186" s="76">
        <v>6996.3099999999986</v>
      </c>
      <c r="L186" s="76">
        <v>4609.9399999999996</v>
      </c>
      <c r="M186" s="464"/>
      <c r="N186" s="464"/>
      <c r="O186" s="464"/>
      <c r="P186" s="22"/>
      <c r="Q186" s="19"/>
      <c r="R186" s="19"/>
      <c r="S186" s="19"/>
      <c r="T186" s="19"/>
    </row>
    <row r="187" spans="1:20" ht="15.75" customHeight="1">
      <c r="A187" s="2"/>
      <c r="B187" s="84" t="s">
        <v>204</v>
      </c>
      <c r="C187" s="84" t="s">
        <v>856</v>
      </c>
      <c r="D187" s="374">
        <v>600</v>
      </c>
      <c r="E187" s="374">
        <v>600</v>
      </c>
      <c r="F187" s="374">
        <v>500</v>
      </c>
      <c r="G187" s="374">
        <v>500</v>
      </c>
      <c r="H187" s="76">
        <v>600</v>
      </c>
      <c r="I187" s="76">
        <v>600</v>
      </c>
      <c r="J187" s="517">
        <v>541.41999999999996</v>
      </c>
      <c r="K187" s="76">
        <v>563.4</v>
      </c>
      <c r="L187" s="76">
        <v>428.1</v>
      </c>
      <c r="M187" s="12"/>
      <c r="N187" s="3"/>
      <c r="O187" s="3"/>
      <c r="P187" s="19"/>
      <c r="Q187" s="19"/>
      <c r="R187" s="19"/>
      <c r="S187" s="19"/>
      <c r="T187" s="19"/>
    </row>
    <row r="188" spans="1:20" ht="15.75" customHeight="1">
      <c r="A188" s="2"/>
      <c r="B188" s="84" t="s">
        <v>778</v>
      </c>
      <c r="C188" s="84" t="s">
        <v>857</v>
      </c>
      <c r="D188" s="374">
        <v>100</v>
      </c>
      <c r="E188" s="374">
        <v>100</v>
      </c>
      <c r="F188" s="374">
        <v>100</v>
      </c>
      <c r="G188" s="374">
        <v>100</v>
      </c>
      <c r="H188" s="76">
        <v>150</v>
      </c>
      <c r="I188" s="76">
        <v>150</v>
      </c>
      <c r="J188" s="517">
        <v>81.97</v>
      </c>
      <c r="K188" s="76">
        <v>93.31</v>
      </c>
      <c r="L188" s="76">
        <v>46.36</v>
      </c>
      <c r="M188" s="22"/>
      <c r="N188" s="19"/>
      <c r="O188" s="19"/>
      <c r="P188" s="19"/>
      <c r="Q188" s="19"/>
      <c r="R188" s="19"/>
      <c r="S188" s="19"/>
      <c r="T188" s="19"/>
    </row>
    <row r="189" spans="1:20" ht="15.75" customHeight="1">
      <c r="A189" s="2"/>
      <c r="B189" s="84" t="s">
        <v>422</v>
      </c>
      <c r="C189" s="84" t="s">
        <v>858</v>
      </c>
      <c r="D189" s="374">
        <v>100</v>
      </c>
      <c r="E189" s="374">
        <v>100</v>
      </c>
      <c r="F189" s="374">
        <v>95</v>
      </c>
      <c r="G189" s="374">
        <v>95</v>
      </c>
      <c r="H189" s="76">
        <v>95</v>
      </c>
      <c r="I189" s="76">
        <v>95</v>
      </c>
      <c r="J189" s="517">
        <v>589.95000000000005</v>
      </c>
      <c r="K189" s="76">
        <v>69.239999999999995</v>
      </c>
      <c r="L189" s="76">
        <v>69.239999999999995</v>
      </c>
      <c r="M189" s="22"/>
      <c r="N189" s="19"/>
      <c r="O189" s="19"/>
      <c r="P189" s="19"/>
      <c r="Q189" s="19"/>
      <c r="R189" s="19"/>
      <c r="S189" s="19"/>
      <c r="T189" s="19"/>
    </row>
    <row r="190" spans="1:20" ht="15.75" customHeight="1">
      <c r="A190" s="2"/>
      <c r="B190" s="84" t="s">
        <v>169</v>
      </c>
      <c r="C190" s="84" t="s">
        <v>859</v>
      </c>
      <c r="D190" s="374">
        <v>50</v>
      </c>
      <c r="E190" s="374">
        <v>50</v>
      </c>
      <c r="F190" s="374">
        <v>250</v>
      </c>
      <c r="G190" s="374">
        <v>250</v>
      </c>
      <c r="H190" s="76">
        <v>50</v>
      </c>
      <c r="I190" s="76">
        <v>100</v>
      </c>
      <c r="J190" s="517">
        <v>93.72</v>
      </c>
      <c r="K190" s="76">
        <v>12.47</v>
      </c>
      <c r="L190" s="76">
        <v>12.47</v>
      </c>
      <c r="M190" s="22"/>
      <c r="N190" s="19"/>
      <c r="O190" s="19"/>
      <c r="P190" s="19"/>
      <c r="Q190" s="19"/>
      <c r="R190" s="19"/>
      <c r="S190" s="19"/>
      <c r="T190" s="19"/>
    </row>
    <row r="191" spans="1:20" ht="15.75" customHeight="1">
      <c r="A191" s="2"/>
      <c r="B191" s="84" t="s">
        <v>216</v>
      </c>
      <c r="C191" s="84" t="s">
        <v>860</v>
      </c>
      <c r="D191" s="375">
        <v>200</v>
      </c>
      <c r="E191" s="375">
        <v>200</v>
      </c>
      <c r="F191" s="375">
        <v>25</v>
      </c>
      <c r="G191" s="375">
        <v>25</v>
      </c>
      <c r="H191" s="76">
        <v>150</v>
      </c>
      <c r="I191" s="76">
        <v>100</v>
      </c>
      <c r="J191" s="517"/>
      <c r="K191" s="76">
        <v>0</v>
      </c>
      <c r="L191" s="293" t="s">
        <v>44</v>
      </c>
      <c r="M191" s="331"/>
      <c r="N191" s="5"/>
      <c r="O191" s="5"/>
      <c r="P191" s="19"/>
      <c r="Q191" s="19"/>
      <c r="R191" s="19"/>
      <c r="S191" s="19"/>
      <c r="T191" s="19"/>
    </row>
    <row r="192" spans="1:20" ht="15.75" customHeight="1">
      <c r="A192" s="2"/>
      <c r="B192" s="84" t="s">
        <v>861</v>
      </c>
      <c r="C192" s="352" t="s">
        <v>862</v>
      </c>
      <c r="D192" s="374">
        <v>500</v>
      </c>
      <c r="E192" s="374">
        <v>500</v>
      </c>
      <c r="F192" s="374">
        <v>500</v>
      </c>
      <c r="G192" s="374">
        <v>500</v>
      </c>
      <c r="H192" s="76">
        <v>750</v>
      </c>
      <c r="I192" s="76">
        <v>250</v>
      </c>
      <c r="J192" s="517">
        <v>311.14</v>
      </c>
      <c r="K192" s="76">
        <v>86.08</v>
      </c>
      <c r="L192" s="76">
        <v>86.08</v>
      </c>
      <c r="M192" s="464"/>
      <c r="N192" s="464"/>
      <c r="O192" s="464"/>
      <c r="P192" s="22"/>
      <c r="Q192" s="19"/>
      <c r="R192" s="19"/>
      <c r="S192" s="19"/>
      <c r="T192" s="19"/>
    </row>
    <row r="193" spans="1:20" ht="15.75" customHeight="1">
      <c r="A193" s="2"/>
      <c r="B193" s="84" t="s">
        <v>794</v>
      </c>
      <c r="C193" s="362"/>
      <c r="D193" s="76">
        <v>500</v>
      </c>
      <c r="E193" s="76">
        <v>500</v>
      </c>
      <c r="F193" s="76"/>
      <c r="G193" s="76"/>
      <c r="H193" s="76"/>
      <c r="I193" s="76"/>
      <c r="J193" s="517"/>
      <c r="K193" s="76"/>
      <c r="L193" s="76"/>
      <c r="M193" s="464"/>
      <c r="N193" s="464"/>
      <c r="O193" s="464"/>
      <c r="P193" s="22"/>
      <c r="Q193" s="19"/>
      <c r="R193" s="19"/>
      <c r="S193" s="19"/>
      <c r="T193" s="19"/>
    </row>
    <row r="194" spans="1:20" ht="15.75" customHeight="1">
      <c r="A194" s="2"/>
      <c r="B194" s="84" t="s">
        <v>863</v>
      </c>
      <c r="C194" s="249" t="s">
        <v>864</v>
      </c>
      <c r="D194" s="76">
        <v>1000</v>
      </c>
      <c r="E194" s="76">
        <v>1000</v>
      </c>
      <c r="F194" s="76">
        <v>1000</v>
      </c>
      <c r="G194" s="76">
        <v>1000</v>
      </c>
      <c r="H194" s="76">
        <v>500</v>
      </c>
      <c r="I194" s="76">
        <v>500</v>
      </c>
      <c r="J194" s="517">
        <v>797.67</v>
      </c>
      <c r="K194" s="76">
        <v>402.52</v>
      </c>
      <c r="L194" s="76">
        <v>402.52</v>
      </c>
      <c r="M194" s="464"/>
      <c r="N194" s="464"/>
      <c r="O194" s="464"/>
      <c r="P194" s="22"/>
      <c r="Q194" s="19"/>
      <c r="R194" s="19"/>
      <c r="S194" s="19"/>
      <c r="T194" s="19"/>
    </row>
    <row r="195" spans="1:20" ht="15.75" customHeight="1">
      <c r="A195" s="2"/>
      <c r="B195" s="84" t="s">
        <v>175</v>
      </c>
      <c r="C195" s="84" t="s">
        <v>865</v>
      </c>
      <c r="D195" s="76">
        <v>500</v>
      </c>
      <c r="E195" s="76">
        <v>500</v>
      </c>
      <c r="F195" s="76">
        <v>500</v>
      </c>
      <c r="G195" s="76">
        <v>500</v>
      </c>
      <c r="H195" s="76">
        <v>1000</v>
      </c>
      <c r="I195" s="76">
        <v>500</v>
      </c>
      <c r="J195" s="517">
        <v>403.89</v>
      </c>
      <c r="K195" s="76">
        <v>48.5</v>
      </c>
      <c r="L195" s="76">
        <v>48.5</v>
      </c>
      <c r="M195" s="464"/>
      <c r="N195" s="464"/>
      <c r="O195" s="464"/>
      <c r="P195" s="22"/>
      <c r="Q195" s="19"/>
      <c r="R195" s="19"/>
      <c r="S195" s="19"/>
      <c r="T195" s="19"/>
    </row>
    <row r="196" spans="1:20" ht="15.75" customHeight="1">
      <c r="A196" s="2"/>
      <c r="B196" s="84" t="s">
        <v>866</v>
      </c>
      <c r="C196" s="84" t="s">
        <v>867</v>
      </c>
      <c r="D196" s="76"/>
      <c r="E196" s="76"/>
      <c r="F196" s="76">
        <v>200</v>
      </c>
      <c r="G196" s="76">
        <v>200</v>
      </c>
      <c r="H196" s="76">
        <v>200</v>
      </c>
      <c r="I196" s="76">
        <v>200</v>
      </c>
      <c r="J196" s="517">
        <v>1075.92</v>
      </c>
      <c r="K196" s="76">
        <v>0</v>
      </c>
      <c r="L196" s="293" t="s">
        <v>44</v>
      </c>
      <c r="M196" s="464"/>
      <c r="N196" s="464"/>
      <c r="O196" s="464"/>
      <c r="P196" s="22"/>
      <c r="Q196" s="19"/>
      <c r="R196" s="19"/>
      <c r="S196" s="19"/>
      <c r="T196" s="19"/>
    </row>
    <row r="197" spans="1:20" ht="15.75" customHeight="1">
      <c r="A197" s="2"/>
      <c r="B197" s="308" t="s">
        <v>734</v>
      </c>
      <c r="C197" s="7"/>
      <c r="D197" s="134"/>
      <c r="E197" s="134"/>
      <c r="F197" s="134"/>
      <c r="G197" s="134"/>
      <c r="H197" s="134"/>
      <c r="I197" s="84" t="s">
        <v>44</v>
      </c>
      <c r="J197" s="517"/>
      <c r="K197" s="76"/>
      <c r="L197" s="76"/>
      <c r="M197" s="96"/>
      <c r="N197" s="39"/>
      <c r="O197" s="39"/>
      <c r="P197" s="19"/>
      <c r="Q197" s="19"/>
      <c r="R197" s="19"/>
      <c r="S197" s="19"/>
      <c r="T197" s="19"/>
    </row>
    <row r="198" spans="1:20" ht="15.75" customHeight="1">
      <c r="A198" s="2"/>
      <c r="B198" s="84" t="s">
        <v>868</v>
      </c>
      <c r="C198" s="84" t="s">
        <v>869</v>
      </c>
      <c r="D198" s="76">
        <v>-5000</v>
      </c>
      <c r="E198" s="76">
        <v>-5000</v>
      </c>
      <c r="F198" s="76">
        <v>-5000</v>
      </c>
      <c r="G198" s="76">
        <v>-5000</v>
      </c>
      <c r="H198" s="76">
        <v>-2500</v>
      </c>
      <c r="I198" s="76">
        <v>-15000</v>
      </c>
      <c r="J198" s="517"/>
      <c r="K198" s="76">
        <v>0</v>
      </c>
      <c r="L198" s="293" t="s">
        <v>44</v>
      </c>
      <c r="M198" s="464"/>
      <c r="N198" s="464"/>
      <c r="O198" s="464"/>
      <c r="P198" s="22"/>
      <c r="Q198" s="19"/>
      <c r="R198" s="19"/>
      <c r="S198" s="19"/>
      <c r="T198" s="19"/>
    </row>
    <row r="199" spans="1:20" ht="15.75" customHeight="1">
      <c r="A199" s="2"/>
      <c r="B199" s="84" t="s">
        <v>870</v>
      </c>
      <c r="C199" s="84" t="s">
        <v>871</v>
      </c>
      <c r="D199" s="76">
        <v>-2600</v>
      </c>
      <c r="E199" s="76">
        <v>-2600</v>
      </c>
      <c r="F199" s="76">
        <v>-3200</v>
      </c>
      <c r="G199" s="76">
        <v>-3200</v>
      </c>
      <c r="H199" s="76">
        <v>-3200</v>
      </c>
      <c r="I199" s="76">
        <v>-8000</v>
      </c>
      <c r="J199" s="517">
        <v>-2003.76</v>
      </c>
      <c r="K199" s="76">
        <v>-1214.4000000000001</v>
      </c>
      <c r="L199" s="76">
        <v>-1214.4000000000001</v>
      </c>
      <c r="M199" s="464"/>
      <c r="N199" s="464"/>
      <c r="O199" s="464"/>
      <c r="P199" s="22"/>
      <c r="Q199" s="19"/>
      <c r="R199" s="19"/>
      <c r="S199" s="19"/>
      <c r="T199" s="19"/>
    </row>
    <row r="200" spans="1:20" ht="15.75" customHeight="1">
      <c r="A200" s="2"/>
      <c r="B200" s="84" t="s">
        <v>872</v>
      </c>
      <c r="C200" s="84" t="s">
        <v>873</v>
      </c>
      <c r="D200" s="76">
        <v>-3000</v>
      </c>
      <c r="E200" s="76">
        <v>-3000</v>
      </c>
      <c r="F200" s="76">
        <v>-10000</v>
      </c>
      <c r="G200" s="76">
        <v>-10000</v>
      </c>
      <c r="H200" s="76">
        <v>-10000</v>
      </c>
      <c r="I200" s="76">
        <v>-10000</v>
      </c>
      <c r="J200" s="517">
        <v>-2231.4499999999998</v>
      </c>
      <c r="K200" s="76">
        <v>-3682.8</v>
      </c>
      <c r="L200" s="76">
        <v>-3069</v>
      </c>
      <c r="M200" s="464"/>
      <c r="N200" s="464"/>
      <c r="O200" s="464"/>
      <c r="P200" s="22"/>
      <c r="Q200" s="19"/>
      <c r="R200" s="19"/>
      <c r="S200" s="19"/>
      <c r="T200" s="19"/>
    </row>
    <row r="201" spans="1:20" ht="15.75" customHeight="1">
      <c r="A201" s="2"/>
      <c r="B201" s="84" t="s">
        <v>743</v>
      </c>
      <c r="C201" s="84" t="s">
        <v>874</v>
      </c>
      <c r="D201" s="134">
        <v>-2500</v>
      </c>
      <c r="E201" s="134">
        <v>-2500</v>
      </c>
      <c r="F201" s="134"/>
      <c r="G201" s="134"/>
      <c r="H201" s="84" t="s">
        <v>44</v>
      </c>
      <c r="I201" s="84" t="s">
        <v>44</v>
      </c>
      <c r="J201" s="517">
        <v>-2092.09</v>
      </c>
      <c r="K201" s="76">
        <v>-3930.3</v>
      </c>
      <c r="L201" s="76">
        <v>-590.70000000000005</v>
      </c>
      <c r="M201" s="464"/>
      <c r="N201" s="464"/>
      <c r="O201" s="464"/>
      <c r="P201" s="22"/>
      <c r="Q201" s="19"/>
      <c r="R201" s="19"/>
      <c r="S201" s="19"/>
      <c r="T201" s="19"/>
    </row>
    <row r="202" spans="1:20" ht="15.75" customHeight="1">
      <c r="A202" s="2"/>
      <c r="B202" s="90" t="s">
        <v>875</v>
      </c>
      <c r="C202" s="90" t="s">
        <v>876</v>
      </c>
      <c r="D202" s="120">
        <v>-22000</v>
      </c>
      <c r="E202" s="120">
        <v>-22000</v>
      </c>
      <c r="F202" s="120">
        <v>24000</v>
      </c>
      <c r="G202" s="120">
        <v>24000</v>
      </c>
      <c r="H202" s="120">
        <v>-38000</v>
      </c>
      <c r="I202" s="120">
        <v>-44000</v>
      </c>
      <c r="J202" s="518">
        <v>-21781.93</v>
      </c>
      <c r="K202" s="120">
        <v>-22504.94</v>
      </c>
      <c r="L202" s="120">
        <v>-10771.05</v>
      </c>
      <c r="M202" s="464"/>
      <c r="N202" s="464"/>
      <c r="O202" s="464"/>
      <c r="P202" s="22"/>
      <c r="Q202" s="19"/>
      <c r="R202" s="19"/>
      <c r="S202" s="19"/>
      <c r="T202" s="19"/>
    </row>
    <row r="203" spans="1:20" ht="15.75" customHeight="1">
      <c r="A203" s="2"/>
      <c r="B203" s="239"/>
      <c r="C203" s="54" t="s">
        <v>197</v>
      </c>
      <c r="D203" s="367">
        <f t="shared" ref="D203" si="18">SUM(D184:D202)</f>
        <v>40490.5</v>
      </c>
      <c r="E203" s="367">
        <f t="shared" ref="E203:J203" si="19">SUM(E184:E202)</f>
        <v>40490.5</v>
      </c>
      <c r="F203" s="367">
        <f t="shared" si="19"/>
        <v>103001.90399999999</v>
      </c>
      <c r="G203" s="41">
        <f t="shared" si="19"/>
        <v>103001.90399999999</v>
      </c>
      <c r="H203" s="41">
        <f t="shared" si="19"/>
        <v>35802.710000000006</v>
      </c>
      <c r="I203" s="41">
        <f t="shared" si="19"/>
        <v>34249.360000000001</v>
      </c>
      <c r="J203" s="522">
        <f t="shared" si="19"/>
        <v>59650.249999999993</v>
      </c>
      <c r="K203" s="41">
        <v>29868.129999999979</v>
      </c>
      <c r="L203" s="41">
        <v>25127.73</v>
      </c>
      <c r="M203" s="12"/>
      <c r="N203" s="3"/>
      <c r="O203" s="3"/>
      <c r="P203" s="19"/>
      <c r="Q203" s="19"/>
      <c r="R203" s="19"/>
      <c r="S203" s="19"/>
      <c r="T203" s="19"/>
    </row>
    <row r="204" spans="1:20" ht="15.75" customHeight="1">
      <c r="A204" s="2"/>
      <c r="B204" s="299" t="s">
        <v>877</v>
      </c>
      <c r="C204" s="236"/>
      <c r="D204" s="236"/>
      <c r="E204" s="236"/>
      <c r="F204" s="236"/>
      <c r="G204" s="11"/>
      <c r="H204" s="11"/>
      <c r="I204" s="11"/>
      <c r="J204" s="517"/>
      <c r="K204" s="70"/>
      <c r="L204" s="70"/>
      <c r="M204" s="22"/>
      <c r="N204" s="19"/>
      <c r="O204" s="19"/>
      <c r="P204" s="19"/>
      <c r="Q204" s="19"/>
      <c r="R204" s="19"/>
      <c r="S204" s="19"/>
      <c r="T204" s="19"/>
    </row>
    <row r="205" spans="1:20" ht="15.75" customHeight="1">
      <c r="A205" s="2"/>
      <c r="B205" s="84" t="s">
        <v>878</v>
      </c>
      <c r="C205" s="84" t="s">
        <v>879</v>
      </c>
      <c r="D205" s="371">
        <v>15822</v>
      </c>
      <c r="E205" s="371">
        <v>15822</v>
      </c>
      <c r="F205" s="371">
        <v>16576</v>
      </c>
      <c r="G205" s="371">
        <v>16576</v>
      </c>
      <c r="H205" s="76">
        <v>10925.6</v>
      </c>
      <c r="I205" s="76">
        <v>9664</v>
      </c>
      <c r="J205" s="517">
        <v>16031.04</v>
      </c>
      <c r="K205" s="76">
        <v>12314.4</v>
      </c>
      <c r="L205" s="76">
        <v>9088.7999999999993</v>
      </c>
      <c r="M205" s="22"/>
      <c r="N205" s="19"/>
      <c r="O205" s="19"/>
      <c r="P205" s="19"/>
      <c r="Q205" s="19"/>
      <c r="R205" s="19"/>
      <c r="S205" s="19"/>
      <c r="T205" s="19"/>
    </row>
    <row r="206" spans="1:20" ht="15.75" customHeight="1">
      <c r="A206" s="2"/>
      <c r="B206" s="84" t="s">
        <v>200</v>
      </c>
      <c r="C206" s="84" t="s">
        <v>880</v>
      </c>
      <c r="D206" s="372">
        <f>D205*0.0895</f>
        <v>1416.069</v>
      </c>
      <c r="E206" s="372">
        <f>E205*0.0895</f>
        <v>1416.069</v>
      </c>
      <c r="F206" s="372">
        <v>1160.32</v>
      </c>
      <c r="G206" s="372">
        <v>1160.32</v>
      </c>
      <c r="H206" s="76">
        <v>764.79</v>
      </c>
      <c r="I206" s="76">
        <v>869.76</v>
      </c>
      <c r="J206" s="517">
        <v>1054.6199999999999</v>
      </c>
      <c r="K206" s="76">
        <v>840.71999999999991</v>
      </c>
      <c r="L206" s="76">
        <v>624.05999999999995</v>
      </c>
      <c r="M206" s="331"/>
      <c r="N206" s="5"/>
      <c r="O206" s="5"/>
      <c r="P206" s="19"/>
      <c r="Q206" s="19"/>
      <c r="R206" s="19"/>
      <c r="S206" s="19"/>
      <c r="T206" s="19"/>
    </row>
    <row r="207" spans="1:20" ht="15.75" customHeight="1">
      <c r="A207" s="2"/>
      <c r="B207" s="84" t="s">
        <v>204</v>
      </c>
      <c r="C207" s="84" t="s">
        <v>881</v>
      </c>
      <c r="D207" s="371">
        <v>600</v>
      </c>
      <c r="E207" s="371">
        <v>600</v>
      </c>
      <c r="F207" s="371">
        <v>600</v>
      </c>
      <c r="G207" s="371">
        <v>600</v>
      </c>
      <c r="H207" s="76">
        <v>600</v>
      </c>
      <c r="I207" s="76">
        <v>675</v>
      </c>
      <c r="J207" s="517">
        <v>49.48</v>
      </c>
      <c r="K207" s="76">
        <v>0</v>
      </c>
      <c r="L207" s="293" t="s">
        <v>44</v>
      </c>
      <c r="M207" s="464"/>
      <c r="N207" s="464"/>
      <c r="O207" s="464"/>
      <c r="P207" s="22"/>
      <c r="Q207" s="19"/>
      <c r="R207" s="19"/>
      <c r="S207" s="19"/>
      <c r="T207" s="19"/>
    </row>
    <row r="208" spans="1:20" ht="15.75" customHeight="1">
      <c r="A208" s="2"/>
      <c r="B208" s="84" t="s">
        <v>422</v>
      </c>
      <c r="C208" s="84" t="s">
        <v>882</v>
      </c>
      <c r="D208" s="371">
        <v>50</v>
      </c>
      <c r="E208" s="371">
        <v>50</v>
      </c>
      <c r="F208" s="371">
        <v>2550</v>
      </c>
      <c r="G208" s="371">
        <v>2550</v>
      </c>
      <c r="H208" s="76">
        <v>50</v>
      </c>
      <c r="I208" s="76">
        <v>50</v>
      </c>
      <c r="J208" s="517">
        <v>169.93</v>
      </c>
      <c r="K208" s="76">
        <v>44.33</v>
      </c>
      <c r="L208" s="76">
        <v>11.49</v>
      </c>
      <c r="M208" s="12"/>
      <c r="N208" s="3"/>
      <c r="O208" s="3"/>
      <c r="P208" s="19"/>
      <c r="Q208" s="19"/>
      <c r="R208" s="19"/>
      <c r="S208" s="19"/>
      <c r="T208" s="19"/>
    </row>
    <row r="209" spans="1:20" ht="15.75" customHeight="1">
      <c r="A209" s="2"/>
      <c r="B209" s="84" t="s">
        <v>778</v>
      </c>
      <c r="C209" s="84" t="s">
        <v>883</v>
      </c>
      <c r="D209" s="371">
        <v>50</v>
      </c>
      <c r="E209" s="371">
        <v>50</v>
      </c>
      <c r="F209" s="371">
        <v>250</v>
      </c>
      <c r="G209" s="371">
        <v>250</v>
      </c>
      <c r="H209" s="76">
        <v>250</v>
      </c>
      <c r="I209" s="76">
        <v>400</v>
      </c>
      <c r="J209" s="517">
        <v>12.62</v>
      </c>
      <c r="K209" s="76">
        <v>103.01</v>
      </c>
      <c r="L209" s="76">
        <v>76.16</v>
      </c>
      <c r="M209" s="331"/>
      <c r="N209" s="5"/>
      <c r="O209" s="5"/>
      <c r="P209" s="19"/>
      <c r="Q209" s="19"/>
      <c r="R209" s="19"/>
      <c r="S209" s="19"/>
      <c r="T209" s="19"/>
    </row>
    <row r="210" spans="1:20" ht="15.75" customHeight="1">
      <c r="A210" s="2"/>
      <c r="B210" s="84" t="s">
        <v>169</v>
      </c>
      <c r="C210" s="84" t="s">
        <v>884</v>
      </c>
      <c r="D210" s="371">
        <v>100</v>
      </c>
      <c r="E210" s="371">
        <v>100</v>
      </c>
      <c r="F210" s="371">
        <v>50</v>
      </c>
      <c r="G210" s="371">
        <v>50</v>
      </c>
      <c r="H210" s="76">
        <v>50</v>
      </c>
      <c r="I210" s="76">
        <v>50</v>
      </c>
      <c r="J210" s="517"/>
      <c r="K210" s="76">
        <v>0</v>
      </c>
      <c r="L210" s="293" t="s">
        <v>44</v>
      </c>
      <c r="M210" s="464"/>
      <c r="N210" s="464"/>
      <c r="O210" s="464"/>
      <c r="P210" s="22"/>
      <c r="Q210" s="19"/>
      <c r="R210" s="19"/>
      <c r="S210" s="19"/>
      <c r="T210" s="19"/>
    </row>
    <row r="211" spans="1:20" ht="15.75" customHeight="1">
      <c r="A211" s="2"/>
      <c r="B211" s="84" t="s">
        <v>216</v>
      </c>
      <c r="C211" s="84" t="s">
        <v>885</v>
      </c>
      <c r="D211" s="371">
        <v>250</v>
      </c>
      <c r="E211" s="371">
        <v>250</v>
      </c>
      <c r="F211" s="371">
        <v>250</v>
      </c>
      <c r="G211" s="371">
        <v>250</v>
      </c>
      <c r="H211" s="76">
        <v>150</v>
      </c>
      <c r="I211" s="76">
        <v>1500</v>
      </c>
      <c r="J211" s="517">
        <v>122</v>
      </c>
      <c r="K211" s="76">
        <v>0</v>
      </c>
      <c r="L211" s="293" t="s">
        <v>44</v>
      </c>
      <c r="M211" s="464"/>
      <c r="N211" s="464"/>
      <c r="O211" s="464"/>
      <c r="P211" s="22"/>
      <c r="Q211" s="19"/>
      <c r="R211" s="19"/>
      <c r="S211" s="19"/>
      <c r="T211" s="19"/>
    </row>
    <row r="212" spans="1:20" ht="15.75" customHeight="1">
      <c r="A212" s="2"/>
      <c r="B212" s="84" t="s">
        <v>687</v>
      </c>
      <c r="C212" s="84" t="s">
        <v>886</v>
      </c>
      <c r="D212" s="371">
        <v>1500</v>
      </c>
      <c r="E212" s="371">
        <v>1500</v>
      </c>
      <c r="F212" s="371">
        <v>2100</v>
      </c>
      <c r="G212" s="371">
        <v>2100</v>
      </c>
      <c r="H212" s="76">
        <v>5000</v>
      </c>
      <c r="I212" s="76">
        <v>2000</v>
      </c>
      <c r="J212" s="517">
        <v>860.02</v>
      </c>
      <c r="K212" s="76">
        <v>2042.87</v>
      </c>
      <c r="L212" s="76">
        <v>2031.92</v>
      </c>
      <c r="M212" s="464"/>
      <c r="N212" s="464"/>
      <c r="O212" s="464"/>
      <c r="P212" s="22"/>
      <c r="Q212" s="19"/>
      <c r="R212" s="19"/>
      <c r="S212" s="19"/>
      <c r="T212" s="19"/>
    </row>
    <row r="213" spans="1:20" ht="15.75" customHeight="1">
      <c r="A213" s="2"/>
      <c r="B213" s="90" t="s">
        <v>175</v>
      </c>
      <c r="C213" s="352" t="s">
        <v>887</v>
      </c>
      <c r="D213" s="259">
        <v>2000</v>
      </c>
      <c r="E213" s="259">
        <v>2000</v>
      </c>
      <c r="F213" s="259">
        <v>450</v>
      </c>
      <c r="G213" s="259">
        <v>450</v>
      </c>
      <c r="H213" s="76">
        <v>450</v>
      </c>
      <c r="I213" s="76">
        <v>450</v>
      </c>
      <c r="J213" s="517">
        <v>340.05</v>
      </c>
      <c r="K213" s="76">
        <v>0</v>
      </c>
      <c r="L213" s="293" t="s">
        <v>44</v>
      </c>
      <c r="M213" s="96"/>
      <c r="N213" s="39"/>
      <c r="O213" s="39"/>
      <c r="P213" s="19"/>
      <c r="Q213" s="19"/>
      <c r="R213" s="19"/>
      <c r="S213" s="19"/>
      <c r="T213" s="19"/>
    </row>
    <row r="214" spans="1:20" ht="15.75" customHeight="1">
      <c r="A214" s="2"/>
      <c r="B214" s="373" t="s">
        <v>888</v>
      </c>
      <c r="C214" s="362"/>
      <c r="D214" s="259">
        <v>200</v>
      </c>
      <c r="E214" s="259">
        <v>200</v>
      </c>
      <c r="F214" s="259"/>
      <c r="G214" s="259"/>
      <c r="H214" s="76"/>
      <c r="I214" s="76"/>
      <c r="J214" s="517"/>
      <c r="K214" s="76"/>
      <c r="L214" s="76"/>
      <c r="M214" s="464"/>
      <c r="N214" s="464"/>
      <c r="O214" s="464"/>
      <c r="P214" s="22"/>
      <c r="Q214" s="19"/>
      <c r="R214" s="19"/>
      <c r="S214" s="19"/>
      <c r="T214" s="19"/>
    </row>
    <row r="215" spans="1:20" ht="15.75" customHeight="1">
      <c r="A215" s="2"/>
      <c r="B215" s="373" t="s">
        <v>794</v>
      </c>
      <c r="C215" s="362"/>
      <c r="D215" s="259">
        <v>450</v>
      </c>
      <c r="E215" s="259">
        <v>450</v>
      </c>
      <c r="F215" s="259"/>
      <c r="G215" s="259"/>
      <c r="H215" s="76"/>
      <c r="I215" s="76"/>
      <c r="J215" s="517"/>
      <c r="K215" s="76"/>
      <c r="L215" s="76"/>
      <c r="M215" s="464"/>
      <c r="N215" s="464"/>
      <c r="O215" s="464"/>
      <c r="P215" s="22"/>
      <c r="Q215" s="19"/>
      <c r="R215" s="19"/>
      <c r="S215" s="19"/>
      <c r="T215" s="19"/>
    </row>
    <row r="216" spans="1:20" ht="15.75" customHeight="1">
      <c r="A216" s="2"/>
      <c r="B216" s="189" t="s">
        <v>866</v>
      </c>
      <c r="C216" s="355" t="s">
        <v>889</v>
      </c>
      <c r="D216" s="356"/>
      <c r="E216" s="356"/>
      <c r="F216" s="356">
        <v>500</v>
      </c>
      <c r="G216" s="356">
        <v>500</v>
      </c>
      <c r="H216" s="120">
        <v>500</v>
      </c>
      <c r="I216" s="120">
        <v>500</v>
      </c>
      <c r="J216" s="518">
        <v>2576.5</v>
      </c>
      <c r="K216" s="120">
        <v>70.099999999999994</v>
      </c>
      <c r="L216" s="120">
        <v>70.099999999999994</v>
      </c>
      <c r="M216" s="464"/>
      <c r="N216" s="464"/>
      <c r="O216" s="464"/>
      <c r="P216" s="22"/>
      <c r="Q216" s="19"/>
      <c r="R216" s="19"/>
      <c r="S216" s="19"/>
      <c r="T216" s="19"/>
    </row>
    <row r="217" spans="1:20" ht="15.75" customHeight="1">
      <c r="A217" s="2"/>
      <c r="B217" s="239"/>
      <c r="C217" s="54" t="s">
        <v>197</v>
      </c>
      <c r="D217" s="367">
        <f t="shared" ref="D217" si="20">SUM(D205:D216)</f>
        <v>22438.069</v>
      </c>
      <c r="E217" s="367">
        <f t="shared" ref="E217:J217" si="21">SUM(E205:E216)</f>
        <v>22438.069</v>
      </c>
      <c r="F217" s="367">
        <f t="shared" si="21"/>
        <v>24486.32</v>
      </c>
      <c r="G217" s="358">
        <f t="shared" si="21"/>
        <v>24486.32</v>
      </c>
      <c r="H217" s="41">
        <f t="shared" si="21"/>
        <v>18740.39</v>
      </c>
      <c r="I217" s="41">
        <f t="shared" si="21"/>
        <v>16158.76</v>
      </c>
      <c r="J217" s="522">
        <f t="shared" si="21"/>
        <v>21216.26</v>
      </c>
      <c r="K217" s="41">
        <v>15415.43</v>
      </c>
      <c r="L217" s="41">
        <v>11902.53</v>
      </c>
      <c r="M217" s="12"/>
      <c r="N217" s="3"/>
      <c r="O217" s="3"/>
      <c r="P217" s="19"/>
      <c r="Q217" s="19"/>
      <c r="R217" s="19"/>
      <c r="S217" s="19"/>
      <c r="T217" s="19"/>
    </row>
    <row r="218" spans="1:20" ht="15.75" customHeight="1">
      <c r="A218" s="2"/>
      <c r="B218" s="299" t="s">
        <v>890</v>
      </c>
      <c r="C218" s="236"/>
      <c r="D218" s="236"/>
      <c r="E218" s="236"/>
      <c r="F218" s="236"/>
      <c r="G218" s="11"/>
      <c r="H218" s="11"/>
      <c r="I218" s="11"/>
      <c r="J218" s="517"/>
      <c r="K218" s="70"/>
      <c r="L218" s="70"/>
      <c r="M218" s="22"/>
      <c r="N218" s="19"/>
      <c r="O218" s="19"/>
      <c r="P218" s="19"/>
      <c r="Q218" s="19"/>
      <c r="R218" s="19"/>
      <c r="S218" s="19"/>
      <c r="T218" s="19"/>
    </row>
    <row r="219" spans="1:20" ht="15.75" customHeight="1">
      <c r="A219" s="2"/>
      <c r="B219" s="84" t="s">
        <v>878</v>
      </c>
      <c r="C219" s="84" t="s">
        <v>640</v>
      </c>
      <c r="D219" s="372">
        <v>15822</v>
      </c>
      <c r="E219" s="372">
        <v>15822</v>
      </c>
      <c r="F219" s="372">
        <v>16576</v>
      </c>
      <c r="G219" s="372">
        <v>16576</v>
      </c>
      <c r="H219" s="76">
        <v>14212.8</v>
      </c>
      <c r="I219" s="76">
        <v>8159</v>
      </c>
      <c r="J219" s="517">
        <v>22151.040000000001</v>
      </c>
      <c r="K219" s="76">
        <v>14392</v>
      </c>
      <c r="L219" s="76">
        <v>0</v>
      </c>
      <c r="M219" s="22"/>
      <c r="N219" s="19"/>
      <c r="O219" s="19"/>
      <c r="P219" s="19"/>
      <c r="Q219" s="19"/>
      <c r="R219" s="19"/>
      <c r="S219" s="19"/>
      <c r="T219" s="19"/>
    </row>
    <row r="220" spans="1:20" ht="15.75" customHeight="1">
      <c r="A220" s="2"/>
      <c r="B220" s="84" t="s">
        <v>200</v>
      </c>
      <c r="C220" s="84" t="s">
        <v>641</v>
      </c>
      <c r="D220" s="372">
        <f>D219*0.0895</f>
        <v>1416.069</v>
      </c>
      <c r="E220" s="372">
        <f>E219*0.0895</f>
        <v>1416.069</v>
      </c>
      <c r="F220" s="374">
        <v>1160.32</v>
      </c>
      <c r="G220" s="374">
        <v>1160.32</v>
      </c>
      <c r="H220" s="76">
        <v>994.9</v>
      </c>
      <c r="I220" s="76">
        <v>571.14</v>
      </c>
      <c r="J220" s="517">
        <v>5982.63</v>
      </c>
      <c r="K220" s="76">
        <v>954.6400000000001</v>
      </c>
      <c r="L220" s="76">
        <v>0</v>
      </c>
      <c r="M220" s="22"/>
      <c r="N220" s="19"/>
      <c r="O220" s="19"/>
      <c r="P220" s="19"/>
      <c r="Q220" s="19"/>
      <c r="R220" s="19"/>
      <c r="S220" s="19"/>
      <c r="T220" s="19"/>
    </row>
    <row r="221" spans="1:20" ht="15.75" customHeight="1">
      <c r="A221" s="2"/>
      <c r="B221" s="84" t="s">
        <v>204</v>
      </c>
      <c r="C221" s="84" t="s">
        <v>643</v>
      </c>
      <c r="D221" s="374">
        <v>600</v>
      </c>
      <c r="E221" s="374">
        <v>600</v>
      </c>
      <c r="F221" s="374">
        <v>600</v>
      </c>
      <c r="G221" s="374">
        <v>600</v>
      </c>
      <c r="H221" s="76">
        <v>600</v>
      </c>
      <c r="I221" s="76">
        <v>675</v>
      </c>
      <c r="J221" s="517"/>
      <c r="K221" s="76">
        <v>90.2</v>
      </c>
      <c r="L221" s="76">
        <v>0</v>
      </c>
      <c r="M221" s="22"/>
      <c r="N221" s="19"/>
      <c r="O221" s="19"/>
      <c r="P221" s="19"/>
      <c r="Q221" s="19"/>
      <c r="R221" s="19"/>
      <c r="S221" s="19"/>
      <c r="T221" s="19"/>
    </row>
    <row r="222" spans="1:20" ht="15.75" customHeight="1">
      <c r="A222" s="2"/>
      <c r="B222" s="84" t="s">
        <v>778</v>
      </c>
      <c r="C222" s="84" t="s">
        <v>644</v>
      </c>
      <c r="D222" s="374">
        <v>50</v>
      </c>
      <c r="E222" s="374">
        <v>50</v>
      </c>
      <c r="F222" s="374">
        <v>75</v>
      </c>
      <c r="G222" s="374">
        <v>75</v>
      </c>
      <c r="H222" s="76">
        <v>75</v>
      </c>
      <c r="I222" s="76">
        <v>100</v>
      </c>
      <c r="J222" s="517"/>
      <c r="K222" s="76">
        <v>34.409999999999997</v>
      </c>
      <c r="L222" s="76">
        <v>0</v>
      </c>
      <c r="M222" s="22"/>
      <c r="N222" s="19"/>
      <c r="O222" s="19"/>
      <c r="P222" s="19"/>
      <c r="Q222" s="19"/>
      <c r="R222" s="19"/>
      <c r="S222" s="19"/>
      <c r="T222" s="19"/>
    </row>
    <row r="223" spans="1:20" ht="15.75" customHeight="1">
      <c r="A223" s="2"/>
      <c r="B223" s="84" t="s">
        <v>422</v>
      </c>
      <c r="C223" s="84" t="s">
        <v>646</v>
      </c>
      <c r="D223" s="374">
        <v>50</v>
      </c>
      <c r="E223" s="374">
        <v>50</v>
      </c>
      <c r="F223" s="374">
        <v>50</v>
      </c>
      <c r="G223" s="374">
        <v>50</v>
      </c>
      <c r="H223" s="76">
        <v>50</v>
      </c>
      <c r="I223" s="76">
        <v>50</v>
      </c>
      <c r="J223" s="517">
        <v>25.55</v>
      </c>
      <c r="K223" s="76">
        <v>44.79</v>
      </c>
      <c r="L223" s="76">
        <v>0</v>
      </c>
      <c r="M223" s="22"/>
      <c r="N223" s="19"/>
      <c r="O223" s="19"/>
      <c r="P223" s="19"/>
      <c r="Q223" s="19"/>
      <c r="R223" s="19"/>
      <c r="S223" s="19"/>
      <c r="T223" s="19"/>
    </row>
    <row r="224" spans="1:20" ht="15.75" customHeight="1">
      <c r="A224" s="2"/>
      <c r="B224" s="84" t="s">
        <v>169</v>
      </c>
      <c r="C224" s="84" t="s">
        <v>648</v>
      </c>
      <c r="D224" s="374">
        <v>50</v>
      </c>
      <c r="E224" s="374">
        <v>50</v>
      </c>
      <c r="F224" s="374">
        <v>50</v>
      </c>
      <c r="G224" s="374">
        <v>50</v>
      </c>
      <c r="H224" s="76">
        <v>50</v>
      </c>
      <c r="I224" s="76">
        <v>50</v>
      </c>
      <c r="J224" s="517">
        <v>53.28</v>
      </c>
      <c r="K224" s="76">
        <v>0</v>
      </c>
      <c r="L224" s="76">
        <v>0</v>
      </c>
      <c r="M224" s="22"/>
      <c r="N224" s="19"/>
      <c r="O224" s="19"/>
      <c r="P224" s="19"/>
      <c r="Q224" s="19"/>
      <c r="R224" s="19"/>
      <c r="S224" s="19"/>
      <c r="T224" s="19"/>
    </row>
    <row r="225" spans="1:20" ht="15.75" customHeight="1">
      <c r="A225" s="2"/>
      <c r="B225" s="84" t="s">
        <v>171</v>
      </c>
      <c r="C225" s="84" t="s">
        <v>650</v>
      </c>
      <c r="D225" s="374">
        <v>0</v>
      </c>
      <c r="E225" s="374">
        <v>0</v>
      </c>
      <c r="F225" s="374">
        <v>0</v>
      </c>
      <c r="G225" s="374">
        <v>0</v>
      </c>
      <c r="H225" s="238"/>
      <c r="I225" s="238"/>
      <c r="J225" s="517"/>
      <c r="K225" s="76">
        <v>1104</v>
      </c>
      <c r="L225" s="76">
        <v>0</v>
      </c>
      <c r="M225" s="331"/>
      <c r="N225" s="5"/>
      <c r="O225" s="5"/>
      <c r="P225" s="19"/>
      <c r="Q225" s="19"/>
      <c r="R225" s="19"/>
      <c r="S225" s="19"/>
      <c r="T225" s="19"/>
    </row>
    <row r="226" spans="1:20" ht="15.75" customHeight="1">
      <c r="A226" s="2"/>
      <c r="B226" s="90" t="s">
        <v>216</v>
      </c>
      <c r="C226" s="84" t="s">
        <v>658</v>
      </c>
      <c r="D226" s="374">
        <v>350</v>
      </c>
      <c r="E226" s="374">
        <v>350</v>
      </c>
      <c r="F226" s="374">
        <v>250</v>
      </c>
      <c r="G226" s="374">
        <v>250</v>
      </c>
      <c r="H226" s="76">
        <v>250</v>
      </c>
      <c r="I226" s="76">
        <v>1500</v>
      </c>
      <c r="J226" s="517">
        <v>100.78</v>
      </c>
      <c r="K226" s="76">
        <v>0</v>
      </c>
      <c r="L226" s="76">
        <v>0</v>
      </c>
      <c r="M226" s="464"/>
      <c r="N226" s="464"/>
      <c r="O226" s="464"/>
      <c r="P226" s="22"/>
      <c r="Q226" s="19"/>
      <c r="R226" s="19"/>
      <c r="S226" s="19"/>
      <c r="T226" s="19"/>
    </row>
    <row r="227" spans="1:20" ht="15.75" customHeight="1">
      <c r="A227" s="2"/>
      <c r="B227" s="373" t="s">
        <v>794</v>
      </c>
      <c r="C227" s="376"/>
      <c r="D227" s="377">
        <v>200</v>
      </c>
      <c r="E227" s="377">
        <v>200</v>
      </c>
      <c r="F227" s="374"/>
      <c r="G227" s="374"/>
      <c r="H227" s="76"/>
      <c r="I227" s="76"/>
      <c r="J227" s="517"/>
      <c r="K227" s="76"/>
      <c r="L227" s="76"/>
      <c r="M227" s="464"/>
      <c r="N227" s="464"/>
      <c r="O227" s="464"/>
      <c r="P227" s="22"/>
      <c r="Q227" s="19"/>
      <c r="R227" s="19"/>
      <c r="S227" s="19"/>
      <c r="T227" s="19"/>
    </row>
    <row r="228" spans="1:20" ht="15.75" customHeight="1">
      <c r="A228" s="2"/>
      <c r="B228" s="378" t="s">
        <v>888</v>
      </c>
      <c r="C228" s="348" t="s">
        <v>652</v>
      </c>
      <c r="D228" s="379">
        <v>2000</v>
      </c>
      <c r="E228" s="379">
        <v>2000</v>
      </c>
      <c r="F228" s="374">
        <v>2000</v>
      </c>
      <c r="G228" s="374">
        <v>2000</v>
      </c>
      <c r="H228" s="76">
        <v>1500</v>
      </c>
      <c r="I228" s="76">
        <v>2000</v>
      </c>
      <c r="J228" s="517">
        <v>1807.44</v>
      </c>
      <c r="K228" s="76">
        <v>1492.07</v>
      </c>
      <c r="L228" s="76">
        <v>0</v>
      </c>
      <c r="M228" s="96"/>
      <c r="N228" s="39"/>
      <c r="O228" s="39"/>
      <c r="P228" s="19"/>
      <c r="Q228" s="19"/>
      <c r="R228" s="19"/>
      <c r="S228" s="19"/>
      <c r="T228" s="19"/>
    </row>
    <row r="229" spans="1:20" ht="15.75" customHeight="1">
      <c r="A229" s="2"/>
      <c r="B229" s="249" t="s">
        <v>866</v>
      </c>
      <c r="C229" s="348" t="s">
        <v>665</v>
      </c>
      <c r="D229" s="380"/>
      <c r="E229" s="380"/>
      <c r="F229" s="374">
        <v>500</v>
      </c>
      <c r="G229" s="374">
        <v>500</v>
      </c>
      <c r="H229" s="76">
        <v>500</v>
      </c>
      <c r="I229" s="76">
        <v>250</v>
      </c>
      <c r="J229" s="517">
        <v>1624.98</v>
      </c>
      <c r="K229" s="76">
        <v>664.15</v>
      </c>
      <c r="L229" s="76">
        <v>0</v>
      </c>
      <c r="M229" s="464"/>
      <c r="N229" s="464"/>
      <c r="O229" s="464"/>
      <c r="P229" s="22"/>
      <c r="Q229" s="19"/>
      <c r="R229" s="19"/>
      <c r="S229" s="19"/>
      <c r="T229" s="19"/>
    </row>
    <row r="230" spans="1:20" ht="15.75" customHeight="1">
      <c r="A230" s="19"/>
      <c r="B230" s="381" t="s">
        <v>891</v>
      </c>
      <c r="C230" s="354"/>
      <c r="D230" s="382">
        <v>-3000</v>
      </c>
      <c r="E230" s="382">
        <v>-3000</v>
      </c>
      <c r="F230" s="383"/>
      <c r="G230" s="383"/>
      <c r="H230" s="74"/>
      <c r="I230" s="76"/>
      <c r="J230" s="521"/>
      <c r="K230" s="74"/>
      <c r="L230" s="76"/>
      <c r="M230" s="464"/>
      <c r="N230" s="464"/>
      <c r="O230" s="464"/>
      <c r="P230" s="22"/>
      <c r="Q230" s="19"/>
      <c r="R230" s="19"/>
      <c r="S230" s="19"/>
      <c r="T230" s="19"/>
    </row>
    <row r="231" spans="1:20" ht="15.75" customHeight="1">
      <c r="A231" s="2"/>
      <c r="B231" s="90" t="s">
        <v>241</v>
      </c>
      <c r="C231" s="355" t="s">
        <v>663</v>
      </c>
      <c r="D231" s="186">
        <v>500</v>
      </c>
      <c r="E231" s="186">
        <v>500</v>
      </c>
      <c r="F231" s="87">
        <v>450</v>
      </c>
      <c r="G231" s="87">
        <v>450</v>
      </c>
      <c r="H231" s="89">
        <v>450</v>
      </c>
      <c r="I231" s="265"/>
      <c r="J231" s="523">
        <v>167.21</v>
      </c>
      <c r="K231" s="89">
        <v>40.909999999999997</v>
      </c>
      <c r="L231" s="120">
        <v>0</v>
      </c>
      <c r="M231" s="464"/>
      <c r="N231" s="464"/>
      <c r="O231" s="464"/>
      <c r="P231" s="22"/>
      <c r="Q231" s="19"/>
      <c r="R231" s="19"/>
      <c r="S231" s="19"/>
      <c r="T231" s="19"/>
    </row>
    <row r="232" spans="1:20" ht="15.75" customHeight="1">
      <c r="A232" s="2"/>
      <c r="B232" s="239"/>
      <c r="C232" s="51" t="s">
        <v>197</v>
      </c>
      <c r="D232" s="384">
        <f t="shared" ref="D232" si="22">SUM(D219:D231)</f>
        <v>18038.069</v>
      </c>
      <c r="E232" s="384">
        <f t="shared" ref="E232:J232" si="23">SUM(E219:E231)</f>
        <v>18038.069</v>
      </c>
      <c r="F232" s="367">
        <f t="shared" si="23"/>
        <v>21711.32</v>
      </c>
      <c r="G232" s="41">
        <f t="shared" si="23"/>
        <v>21711.32</v>
      </c>
      <c r="H232" s="41">
        <f t="shared" si="23"/>
        <v>18682.699999999997</v>
      </c>
      <c r="I232" s="385">
        <f t="shared" si="23"/>
        <v>13355.14</v>
      </c>
      <c r="J232" s="524">
        <f t="shared" si="23"/>
        <v>31912.909999999996</v>
      </c>
      <c r="K232" s="41">
        <v>18817.169999999998</v>
      </c>
      <c r="L232" s="190" t="s">
        <v>44</v>
      </c>
      <c r="M232" s="12"/>
      <c r="N232" s="3"/>
      <c r="O232" s="3"/>
      <c r="P232" s="19"/>
      <c r="Q232" s="19"/>
      <c r="R232" s="19"/>
      <c r="S232" s="19"/>
      <c r="T232" s="19"/>
    </row>
    <row r="233" spans="1:20" ht="15.75" customHeight="1">
      <c r="A233" s="2"/>
      <c r="B233" s="239"/>
      <c r="C233" s="239"/>
      <c r="D233" s="239"/>
      <c r="E233" s="239"/>
      <c r="F233" s="239"/>
      <c r="G233" s="60"/>
      <c r="H233" s="60"/>
      <c r="I233" s="60"/>
      <c r="J233" s="525"/>
      <c r="K233" s="198"/>
      <c r="L233" s="198"/>
      <c r="M233" s="22"/>
      <c r="N233" s="19"/>
      <c r="O233" s="19"/>
      <c r="P233" s="19"/>
      <c r="Q233" s="19"/>
      <c r="R233" s="19"/>
      <c r="S233" s="19"/>
      <c r="T233" s="19"/>
    </row>
    <row r="234" spans="1:20" ht="15.75" customHeight="1">
      <c r="A234" s="2"/>
      <c r="B234" s="236"/>
      <c r="C234" s="171" t="s">
        <v>892</v>
      </c>
      <c r="D234" s="341">
        <f>D20</f>
        <v>116559.4</v>
      </c>
      <c r="E234" s="341">
        <f>E20</f>
        <v>116559.4</v>
      </c>
      <c r="F234" s="341">
        <f>F20</f>
        <v>121912.5</v>
      </c>
      <c r="G234" s="341">
        <f>G20</f>
        <v>123912.5</v>
      </c>
      <c r="H234" s="341"/>
      <c r="I234" s="341"/>
      <c r="J234" s="520">
        <f>J20</f>
        <v>31912.909999999996</v>
      </c>
      <c r="K234" s="310">
        <f>K20</f>
        <v>0</v>
      </c>
      <c r="L234" s="310">
        <f>L20</f>
        <v>69185.040000000008</v>
      </c>
      <c r="M234" s="22"/>
      <c r="N234" s="19"/>
      <c r="O234" s="19"/>
      <c r="P234" s="19"/>
      <c r="Q234" s="19"/>
      <c r="R234" s="19"/>
      <c r="S234" s="19"/>
      <c r="T234" s="19"/>
    </row>
    <row r="235" spans="1:20" ht="15.75" customHeight="1">
      <c r="A235" s="2"/>
      <c r="B235" s="7"/>
      <c r="C235" s="252" t="s">
        <v>893</v>
      </c>
      <c r="D235" s="386">
        <f>D91</f>
        <v>415018</v>
      </c>
      <c r="E235" s="386">
        <f>E91</f>
        <v>415018</v>
      </c>
      <c r="F235" s="386">
        <f>F91</f>
        <v>282865</v>
      </c>
      <c r="G235" s="386">
        <f>G91</f>
        <v>248780</v>
      </c>
      <c r="H235" s="386"/>
      <c r="I235" s="386"/>
      <c r="J235" s="526">
        <f>J91</f>
        <v>356067.42000000004</v>
      </c>
      <c r="K235" s="21">
        <f>K91</f>
        <v>310164.90999999992</v>
      </c>
      <c r="L235" s="21">
        <f>L91</f>
        <v>489785.38</v>
      </c>
      <c r="M235" s="22"/>
      <c r="N235" s="19"/>
      <c r="O235" s="19"/>
      <c r="P235" s="19"/>
      <c r="Q235" s="19"/>
      <c r="R235" s="19"/>
      <c r="S235" s="19"/>
      <c r="T235" s="19"/>
    </row>
    <row r="236" spans="1:20" ht="15.75" customHeight="1">
      <c r="A236" s="2"/>
      <c r="B236" s="7"/>
      <c r="C236" s="252" t="s">
        <v>894</v>
      </c>
      <c r="D236" s="294">
        <f t="shared" ref="D236" si="24">D120</f>
        <v>62220.75</v>
      </c>
      <c r="E236" s="294">
        <f t="shared" ref="E236:J236" si="25">E120</f>
        <v>62220.75</v>
      </c>
      <c r="F236" s="294">
        <f t="shared" si="25"/>
        <v>100002.41</v>
      </c>
      <c r="G236" s="21">
        <f t="shared" si="25"/>
        <v>100002.41</v>
      </c>
      <c r="H236" s="21">
        <f t="shared" si="25"/>
        <v>104274.31</v>
      </c>
      <c r="I236" s="21">
        <f t="shared" si="25"/>
        <v>88648.03</v>
      </c>
      <c r="J236" s="527">
        <f t="shared" si="25"/>
        <v>95665.449999999983</v>
      </c>
      <c r="K236" s="21">
        <v>72305.407000000007</v>
      </c>
      <c r="L236" s="21">
        <v>45941.78</v>
      </c>
      <c r="M236" s="22"/>
      <c r="N236" s="19"/>
      <c r="O236" s="19"/>
      <c r="P236" s="19"/>
      <c r="Q236" s="19"/>
      <c r="R236" s="19"/>
      <c r="S236" s="19"/>
      <c r="T236" s="19"/>
    </row>
    <row r="237" spans="1:20" ht="15.75" customHeight="1">
      <c r="A237" s="2"/>
      <c r="B237" s="7"/>
      <c r="C237" s="252" t="s">
        <v>895</v>
      </c>
      <c r="D237" s="294">
        <f>D131</f>
        <v>34730.569000000003</v>
      </c>
      <c r="E237" s="294">
        <f>E131</f>
        <v>34730.569000000003</v>
      </c>
      <c r="F237" s="294">
        <f>F131</f>
        <v>19611.32</v>
      </c>
      <c r="G237" s="21">
        <f>G131</f>
        <v>19611.32</v>
      </c>
      <c r="H237" s="21">
        <v>16332.7</v>
      </c>
      <c r="I237" s="21">
        <v>13795.75</v>
      </c>
      <c r="J237" s="527">
        <f>J131</f>
        <v>19726.990000000002</v>
      </c>
      <c r="K237" s="21">
        <v>15092.05</v>
      </c>
      <c r="L237" s="21">
        <v>11514.49</v>
      </c>
      <c r="M237" s="22"/>
      <c r="N237" s="19"/>
      <c r="O237" s="19"/>
      <c r="P237" s="19"/>
      <c r="Q237" s="19"/>
      <c r="R237" s="19"/>
      <c r="S237" s="19"/>
      <c r="T237" s="19"/>
    </row>
    <row r="238" spans="1:20" ht="15.75" customHeight="1">
      <c r="A238" s="2"/>
      <c r="B238" s="7"/>
      <c r="C238" s="252" t="s">
        <v>896</v>
      </c>
      <c r="D238" s="387">
        <f>D150</f>
        <v>1260.6247500000027</v>
      </c>
      <c r="E238" s="387">
        <f>E150</f>
        <v>1260.6247500000027</v>
      </c>
      <c r="F238" s="387">
        <f>F150</f>
        <v>28502.639999999999</v>
      </c>
      <c r="G238" s="21">
        <f>G150</f>
        <v>28502.639999999999</v>
      </c>
      <c r="H238" s="21">
        <v>16988.7</v>
      </c>
      <c r="I238" s="21">
        <v>17408.09</v>
      </c>
      <c r="J238" s="528">
        <f>J150</f>
        <v>14144.419999999998</v>
      </c>
      <c r="K238" s="21">
        <v>16774.05</v>
      </c>
      <c r="L238" s="21">
        <v>10243.43</v>
      </c>
      <c r="M238" s="22"/>
      <c r="N238" s="19"/>
      <c r="O238" s="19"/>
      <c r="P238" s="19"/>
      <c r="Q238" s="19"/>
      <c r="R238" s="19"/>
      <c r="S238" s="19"/>
      <c r="T238" s="19"/>
    </row>
    <row r="239" spans="1:20" ht="15.75" customHeight="1">
      <c r="A239" s="2"/>
      <c r="B239" s="7"/>
      <c r="C239" s="252" t="s">
        <v>897</v>
      </c>
      <c r="D239" s="294">
        <f>D168</f>
        <v>126535.56899999999</v>
      </c>
      <c r="E239" s="294">
        <f>E168</f>
        <v>126535.56899999999</v>
      </c>
      <c r="F239" s="294">
        <f>F168</f>
        <v>106386.32</v>
      </c>
      <c r="G239" s="21">
        <f>G168</f>
        <v>106386.32</v>
      </c>
      <c r="H239" s="21">
        <v>138719.46</v>
      </c>
      <c r="I239" s="21">
        <v>131904.23000000001</v>
      </c>
      <c r="J239" s="527">
        <f>J168</f>
        <v>117970.51999999999</v>
      </c>
      <c r="K239" s="21">
        <v>111364.67</v>
      </c>
      <c r="L239" s="21">
        <v>99943.34</v>
      </c>
      <c r="M239" s="22"/>
      <c r="N239" s="19"/>
      <c r="O239" s="19"/>
      <c r="P239" s="19"/>
      <c r="Q239" s="19"/>
      <c r="R239" s="19"/>
      <c r="S239" s="19"/>
      <c r="T239" s="19"/>
    </row>
    <row r="240" spans="1:20" ht="15.75" customHeight="1">
      <c r="A240" s="2"/>
      <c r="B240" s="7"/>
      <c r="C240" s="252" t="s">
        <v>898</v>
      </c>
      <c r="D240" s="387">
        <f>D182</f>
        <v>43660.624750000003</v>
      </c>
      <c r="E240" s="387">
        <f>E182</f>
        <v>43660.624750000003</v>
      </c>
      <c r="F240" s="387">
        <f>F182</f>
        <v>43405.43</v>
      </c>
      <c r="G240" s="21">
        <f>G182</f>
        <v>43405.43</v>
      </c>
      <c r="H240" s="21">
        <v>45870.2</v>
      </c>
      <c r="I240" s="21">
        <v>41870.83</v>
      </c>
      <c r="J240" s="528">
        <f>J182</f>
        <v>45940.619999999995</v>
      </c>
      <c r="K240" s="21">
        <v>45889.52</v>
      </c>
      <c r="L240" s="21">
        <v>34863.58</v>
      </c>
      <c r="M240" s="22"/>
      <c r="N240" s="19"/>
      <c r="O240" s="19"/>
      <c r="P240" s="19"/>
      <c r="Q240" s="19"/>
      <c r="R240" s="19"/>
      <c r="S240" s="19"/>
      <c r="T240" s="19"/>
    </row>
    <row r="241" spans="1:20" ht="15.75" customHeight="1">
      <c r="A241" s="2"/>
      <c r="B241" s="7"/>
      <c r="C241" s="252" t="s">
        <v>899</v>
      </c>
      <c r="D241" s="387">
        <f>D203</f>
        <v>40490.5</v>
      </c>
      <c r="E241" s="387">
        <f>E203</f>
        <v>40490.5</v>
      </c>
      <c r="F241" s="387">
        <f>F203</f>
        <v>103001.90399999999</v>
      </c>
      <c r="G241" s="21">
        <f>G203</f>
        <v>103001.90399999999</v>
      </c>
      <c r="H241" s="21">
        <v>35802.71</v>
      </c>
      <c r="I241" s="21">
        <v>29749.360000000001</v>
      </c>
      <c r="J241" s="528">
        <f>J203</f>
        <v>59650.249999999993</v>
      </c>
      <c r="K241" s="21">
        <v>29868.129999999979</v>
      </c>
      <c r="L241" s="21">
        <v>25127.73</v>
      </c>
      <c r="M241" s="22"/>
      <c r="N241" s="19"/>
      <c r="O241" s="19"/>
      <c r="P241" s="19"/>
      <c r="Q241" s="19"/>
      <c r="R241" s="19"/>
      <c r="S241" s="19"/>
      <c r="T241" s="19"/>
    </row>
    <row r="242" spans="1:20" ht="15.75" customHeight="1">
      <c r="A242" s="2"/>
      <c r="B242" s="7"/>
      <c r="C242" s="252" t="s">
        <v>900</v>
      </c>
      <c r="D242" s="387">
        <f>D217</f>
        <v>22438.069</v>
      </c>
      <c r="E242" s="387">
        <f>E217</f>
        <v>22438.069</v>
      </c>
      <c r="F242" s="387">
        <f>F217</f>
        <v>24486.32</v>
      </c>
      <c r="G242" s="21">
        <f>G217</f>
        <v>24486.32</v>
      </c>
      <c r="H242" s="21">
        <f>H217</f>
        <v>18740.39</v>
      </c>
      <c r="I242" s="21">
        <v>13355.14</v>
      </c>
      <c r="J242" s="528">
        <f>J217</f>
        <v>21216.26</v>
      </c>
      <c r="K242" s="21">
        <v>15415.43</v>
      </c>
      <c r="L242" s="388" t="s">
        <v>44</v>
      </c>
      <c r="M242" s="22"/>
      <c r="N242" s="19"/>
      <c r="O242" s="19"/>
      <c r="P242" s="19"/>
      <c r="Q242" s="19"/>
      <c r="R242" s="19"/>
      <c r="S242" s="19"/>
      <c r="T242" s="19"/>
    </row>
    <row r="243" spans="1:20" ht="15.75" customHeight="1">
      <c r="A243" s="2"/>
      <c r="B243" s="287"/>
      <c r="C243" s="295" t="s">
        <v>901</v>
      </c>
      <c r="D243" s="389">
        <f>D232</f>
        <v>18038.069</v>
      </c>
      <c r="E243" s="389">
        <f>E232</f>
        <v>18038.069</v>
      </c>
      <c r="F243" s="389">
        <f>F232</f>
        <v>21711.32</v>
      </c>
      <c r="G243" s="30">
        <f>G232</f>
        <v>21711.32</v>
      </c>
      <c r="H243" s="30">
        <f>H232</f>
        <v>18682.699999999997</v>
      </c>
      <c r="I243" s="30">
        <v>16158.76</v>
      </c>
      <c r="J243" s="529">
        <f>J232</f>
        <v>31912.909999999996</v>
      </c>
      <c r="K243" s="30">
        <v>18817.169999999998</v>
      </c>
      <c r="L243" s="30">
        <v>11902.53</v>
      </c>
      <c r="M243" s="22"/>
      <c r="N243" s="19"/>
      <c r="O243" s="19"/>
      <c r="P243" s="19"/>
      <c r="Q243" s="19"/>
      <c r="R243" s="19"/>
      <c r="S243" s="19"/>
      <c r="T243" s="19"/>
    </row>
    <row r="244" spans="1:20" ht="15.75" customHeight="1">
      <c r="A244" s="2"/>
      <c r="B244" s="239"/>
      <c r="C244" s="54" t="s">
        <v>197</v>
      </c>
      <c r="D244" s="240">
        <f t="shared" ref="D244" si="26">SUM(D234:D243)</f>
        <v>880952.17550000001</v>
      </c>
      <c r="E244" s="240">
        <f t="shared" ref="E244:L244" si="27">SUM(E234:E243)</f>
        <v>880952.17550000001</v>
      </c>
      <c r="F244" s="240">
        <f t="shared" si="27"/>
        <v>851885.16399999987</v>
      </c>
      <c r="G244" s="240">
        <f t="shared" si="27"/>
        <v>819800.16399999999</v>
      </c>
      <c r="H244" s="240">
        <f t="shared" si="27"/>
        <v>395411.17000000004</v>
      </c>
      <c r="I244" s="240">
        <f t="shared" si="27"/>
        <v>352890.19</v>
      </c>
      <c r="J244" s="512">
        <f t="shared" si="27"/>
        <v>794207.75</v>
      </c>
      <c r="K244" s="240">
        <f t="shared" si="27"/>
        <v>635691.33700000006</v>
      </c>
      <c r="L244" s="240">
        <f t="shared" si="27"/>
        <v>798507.3</v>
      </c>
      <c r="M244" s="22"/>
      <c r="N244" s="19"/>
      <c r="O244" s="19"/>
      <c r="P244" s="19"/>
      <c r="Q244" s="19"/>
      <c r="R244" s="19"/>
      <c r="S244" s="19"/>
      <c r="T244" s="19"/>
    </row>
    <row r="245" spans="1:20" ht="15.75" customHeight="1">
      <c r="A245" s="19"/>
      <c r="B245" s="3"/>
      <c r="C245" s="3"/>
      <c r="D245" s="435"/>
      <c r="E245" s="3"/>
      <c r="F245" s="3"/>
      <c r="G245" s="9"/>
      <c r="H245" s="3"/>
      <c r="I245" s="3"/>
      <c r="J245" s="530"/>
      <c r="K245" s="3"/>
      <c r="L245" s="3"/>
      <c r="M245" s="19"/>
      <c r="N245" s="19"/>
      <c r="O245" s="19"/>
      <c r="P245" s="19"/>
      <c r="Q245" s="19"/>
      <c r="R245" s="19"/>
      <c r="S245" s="19"/>
      <c r="T245" s="19"/>
    </row>
    <row r="246" spans="1:20" ht="15.75" customHeight="1">
      <c r="A246" s="19"/>
      <c r="B246" s="19"/>
      <c r="C246" s="19"/>
      <c r="D246" s="437"/>
      <c r="E246" s="18"/>
      <c r="F246" s="19"/>
      <c r="G246" s="19"/>
      <c r="H246" s="19"/>
      <c r="I246" s="19"/>
      <c r="J246" s="531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</sheetData>
  <mergeCells count="91">
    <mergeCell ref="M214:O214"/>
    <mergeCell ref="M145:O145"/>
    <mergeCell ref="M146:O146"/>
    <mergeCell ref="M138:O138"/>
    <mergeCell ref="M207:O207"/>
    <mergeCell ref="M159:O159"/>
    <mergeCell ref="M144:O144"/>
    <mergeCell ref="M212:O212"/>
    <mergeCell ref="M202:O202"/>
    <mergeCell ref="M164:O164"/>
    <mergeCell ref="M180:O180"/>
    <mergeCell ref="M176:O176"/>
    <mergeCell ref="M195:O195"/>
    <mergeCell ref="M194:O194"/>
    <mergeCell ref="M201:O201"/>
    <mergeCell ref="M193:O193"/>
    <mergeCell ref="M231:O231"/>
    <mergeCell ref="M134:O134"/>
    <mergeCell ref="M229:O229"/>
    <mergeCell ref="M135:O135"/>
    <mergeCell ref="M142:O142"/>
    <mergeCell ref="M211:O211"/>
    <mergeCell ref="M141:O141"/>
    <mergeCell ref="M210:O210"/>
    <mergeCell ref="M230:O230"/>
    <mergeCell ref="M227:O227"/>
    <mergeCell ref="M177:O177"/>
    <mergeCell ref="M226:O226"/>
    <mergeCell ref="M137:O137"/>
    <mergeCell ref="M153:O153"/>
    <mergeCell ref="M140:O140"/>
    <mergeCell ref="M172:O172"/>
    <mergeCell ref="M216:O216"/>
    <mergeCell ref="M119:O119"/>
    <mergeCell ref="M111:O111"/>
    <mergeCell ref="M215:O215"/>
    <mergeCell ref="M157:O157"/>
    <mergeCell ref="M178:O178"/>
    <mergeCell ref="M171:O171"/>
    <mergeCell ref="M133:O133"/>
    <mergeCell ref="M130:O130"/>
    <mergeCell ref="M129:O129"/>
    <mergeCell ref="M127:O127"/>
    <mergeCell ref="M128:O128"/>
    <mergeCell ref="M200:O200"/>
    <mergeCell ref="M196:O196"/>
    <mergeCell ref="M149:O149"/>
    <mergeCell ref="M147:O147"/>
    <mergeCell ref="M95:O95"/>
    <mergeCell ref="M124:O124"/>
    <mergeCell ref="M170:O170"/>
    <mergeCell ref="M123:O123"/>
    <mergeCell ref="M105:O105"/>
    <mergeCell ref="M122:O122"/>
    <mergeCell ref="M106:O106"/>
    <mergeCell ref="M103:O103"/>
    <mergeCell ref="M99:O99"/>
    <mergeCell ref="M100:O100"/>
    <mergeCell ref="M97:O97"/>
    <mergeCell ref="M148:O148"/>
    <mergeCell ref="M139:O139"/>
    <mergeCell ref="M199:O199"/>
    <mergeCell ref="M102:O102"/>
    <mergeCell ref="M167:O167"/>
    <mergeCell ref="M166:O166"/>
    <mergeCell ref="M165:O165"/>
    <mergeCell ref="M198:O198"/>
    <mergeCell ref="M104:O104"/>
    <mergeCell ref="M112:O112"/>
    <mergeCell ref="M136:O136"/>
    <mergeCell ref="M185:O185"/>
    <mergeCell ref="M109:O109"/>
    <mergeCell ref="M179:O179"/>
    <mergeCell ref="M158:O158"/>
    <mergeCell ref="M192:O192"/>
    <mergeCell ref="M94:O94"/>
    <mergeCell ref="M186:O186"/>
    <mergeCell ref="M155:O155"/>
    <mergeCell ref="B1:L1"/>
    <mergeCell ref="M163:O163"/>
    <mergeCell ref="M161:O161"/>
    <mergeCell ref="M152:O152"/>
    <mergeCell ref="M101:O101"/>
    <mergeCell ref="M181:O181"/>
    <mergeCell ref="M154:O154"/>
    <mergeCell ref="M107:O107"/>
    <mergeCell ref="M162:O162"/>
    <mergeCell ref="M93:O93"/>
    <mergeCell ref="M19:T19"/>
    <mergeCell ref="M160:O160"/>
    <mergeCell ref="M156:O156"/>
  </mergeCells>
  <conditionalFormatting sqref="E133:G139 E150:F150 J150 E170:G177 E182:F182 J182 E184:G192 E203:F203 J203 E205:G212 E217:F217 J217 E219:G230 E232:F232 J232 E238:F238 J238 E240:F243 J240:J243">
    <cfRule type="cellIs" dxfId="1" priority="2" stopIfTrue="1" operator="lessThan">
      <formula>0</formula>
    </cfRule>
  </conditionalFormatting>
  <conditionalFormatting sqref="D133:D139 D150 D170:D177 D182 D184:D192 D203 D205:D212 D217 D219:D230 D232 D238 D240:D243">
    <cfRule type="cellIs" dxfId="0" priority="1" stopIfTrue="1" operator="lessThan">
      <formula>0</formula>
    </cfRule>
  </conditionalFormatting>
  <pageMargins left="0.7" right="0.7" top="0.75" bottom="0.75" header="0" footer="0"/>
  <pageSetup orientation="landscape"/>
  <headerFooter>
    <oddFooter>&amp;C&amp;"Helvetica Neue,Regular"&amp;12&amp;K000000&amp;P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129"/>
  <sheetViews>
    <sheetView showGridLines="0" topLeftCell="B40" workbookViewId="0">
      <selection activeCell="D51" sqref="D51"/>
    </sheetView>
  </sheetViews>
  <sheetFormatPr defaultColWidth="14.42578125" defaultRowHeight="15" customHeight="1"/>
  <cols>
    <col min="1" max="1" width="14.42578125" style="390" hidden="1" customWidth="1"/>
    <col min="2" max="2" width="29.28515625" style="390" customWidth="1"/>
    <col min="3" max="3" width="16" style="390" customWidth="1"/>
    <col min="4" max="4" width="19" style="433" customWidth="1"/>
    <col min="5" max="5" width="25.42578125" style="390" customWidth="1"/>
    <col min="6" max="6" width="14.7109375" style="390" customWidth="1"/>
    <col min="7" max="7" width="13" style="390" customWidth="1"/>
    <col min="8" max="8" width="21.28515625" style="390" customWidth="1"/>
    <col min="9" max="9" width="19.42578125" style="390" customWidth="1"/>
    <col min="10" max="10" width="16" style="514" customWidth="1"/>
    <col min="11" max="11" width="16.140625" style="390" customWidth="1"/>
    <col min="12" max="12" width="17.7109375" style="390" customWidth="1"/>
    <col min="13" max="257" width="14.42578125" style="390" customWidth="1"/>
  </cols>
  <sheetData>
    <row r="1" spans="1:13" ht="15.75" customHeight="1">
      <c r="A1" s="2"/>
      <c r="B1" s="477" t="s">
        <v>902</v>
      </c>
      <c r="C1" s="448"/>
      <c r="D1" s="448"/>
      <c r="E1" s="449"/>
      <c r="F1" s="449"/>
      <c r="G1" s="449"/>
      <c r="H1" s="449"/>
      <c r="I1" s="449"/>
      <c r="J1" s="449"/>
      <c r="K1" s="449"/>
      <c r="L1" s="452"/>
      <c r="M1" s="22"/>
    </row>
    <row r="2" spans="1:13" ht="15.75" customHeight="1">
      <c r="A2" s="2"/>
      <c r="B2" s="54" t="s">
        <v>156</v>
      </c>
      <c r="C2" s="54" t="s">
        <v>157</v>
      </c>
      <c r="D2" s="54" t="s">
        <v>1170</v>
      </c>
      <c r="E2" s="391" t="s">
        <v>8</v>
      </c>
      <c r="F2" s="392" t="s">
        <v>158</v>
      </c>
      <c r="G2" s="393" t="s">
        <v>159</v>
      </c>
      <c r="H2" s="393" t="s">
        <v>161</v>
      </c>
      <c r="I2" s="54" t="s">
        <v>162</v>
      </c>
      <c r="J2" s="532" t="s">
        <v>637</v>
      </c>
      <c r="K2" s="394" t="s">
        <v>903</v>
      </c>
      <c r="L2" s="54" t="s">
        <v>165</v>
      </c>
      <c r="M2" s="22"/>
    </row>
    <row r="3" spans="1:13" ht="15.75" customHeight="1">
      <c r="A3" s="2"/>
      <c r="B3" s="395" t="s">
        <v>904</v>
      </c>
      <c r="C3" s="396"/>
      <c r="D3" s="396"/>
      <c r="E3" s="396"/>
      <c r="F3" s="346"/>
      <c r="G3" s="397"/>
      <c r="H3" s="397"/>
      <c r="I3" s="397"/>
      <c r="J3" s="533"/>
      <c r="K3" s="397"/>
      <c r="L3" s="397"/>
      <c r="M3" s="22"/>
    </row>
    <row r="4" spans="1:13" ht="15.75" customHeight="1">
      <c r="A4" s="2"/>
      <c r="B4" s="274" t="s">
        <v>905</v>
      </c>
      <c r="C4" s="398"/>
      <c r="D4" s="405"/>
      <c r="E4" s="399"/>
      <c r="F4" s="398"/>
      <c r="G4" s="400"/>
      <c r="H4" s="400"/>
      <c r="I4" s="400"/>
      <c r="J4" s="534"/>
      <c r="K4" s="400"/>
      <c r="L4" s="400"/>
      <c r="M4" s="22"/>
    </row>
    <row r="5" spans="1:13" ht="15.75" customHeight="1">
      <c r="A5" s="2"/>
      <c r="B5" s="84" t="s">
        <v>906</v>
      </c>
      <c r="C5" s="84" t="s">
        <v>907</v>
      </c>
      <c r="D5" s="70">
        <v>201864</v>
      </c>
      <c r="E5" s="70">
        <v>201864</v>
      </c>
      <c r="F5" s="76">
        <v>175434</v>
      </c>
      <c r="G5" s="76">
        <v>175434</v>
      </c>
      <c r="H5" s="76">
        <v>120600</v>
      </c>
      <c r="I5" s="76">
        <v>88550</v>
      </c>
      <c r="J5" s="502">
        <v>137567.28</v>
      </c>
      <c r="K5" s="76">
        <v>105168.43</v>
      </c>
      <c r="L5" s="76">
        <v>60619.83</v>
      </c>
      <c r="M5" s="22"/>
    </row>
    <row r="6" spans="1:13" ht="15.75" customHeight="1">
      <c r="A6" s="2"/>
      <c r="B6" s="84" t="s">
        <v>908</v>
      </c>
      <c r="C6" s="84" t="s">
        <v>909</v>
      </c>
      <c r="D6" s="76">
        <v>13200</v>
      </c>
      <c r="E6" s="76">
        <v>13200</v>
      </c>
      <c r="F6" s="76">
        <v>13200</v>
      </c>
      <c r="G6" s="76">
        <v>13200</v>
      </c>
      <c r="H6" s="76">
        <v>12400</v>
      </c>
      <c r="I6" s="76">
        <v>7000</v>
      </c>
      <c r="J6" s="502">
        <v>8355.94</v>
      </c>
      <c r="K6" s="76">
        <v>13804.3</v>
      </c>
      <c r="L6" s="76">
        <v>10284.299999999999</v>
      </c>
      <c r="M6" s="22"/>
    </row>
    <row r="7" spans="1:13" ht="15.75" customHeight="1">
      <c r="A7" s="2"/>
      <c r="B7" s="84" t="s">
        <v>200</v>
      </c>
      <c r="C7" s="84" t="s">
        <v>910</v>
      </c>
      <c r="D7" s="76">
        <v>26676.28</v>
      </c>
      <c r="E7" s="76">
        <v>26676.28</v>
      </c>
      <c r="F7" s="76">
        <v>25859.88</v>
      </c>
      <c r="G7" s="76">
        <v>25859.88</v>
      </c>
      <c r="H7" s="76">
        <v>18681.400000000001</v>
      </c>
      <c r="I7" s="76">
        <v>19225</v>
      </c>
      <c r="J7" s="502">
        <v>49612.19</v>
      </c>
      <c r="K7" s="76">
        <v>21240.37</v>
      </c>
      <c r="L7" s="76">
        <v>12952.55</v>
      </c>
      <c r="M7" s="22"/>
    </row>
    <row r="8" spans="1:13" ht="15.75" customHeight="1">
      <c r="A8" s="2"/>
      <c r="B8" s="84" t="s">
        <v>642</v>
      </c>
      <c r="C8" s="84" t="s">
        <v>911</v>
      </c>
      <c r="D8" s="76">
        <v>600</v>
      </c>
      <c r="E8" s="76">
        <v>600</v>
      </c>
      <c r="F8" s="76">
        <v>600</v>
      </c>
      <c r="G8" s="76">
        <v>600</v>
      </c>
      <c r="H8" s="76">
        <v>600</v>
      </c>
      <c r="I8" s="76">
        <v>2242</v>
      </c>
      <c r="J8" s="502">
        <v>1085.23</v>
      </c>
      <c r="K8" s="76">
        <v>573.04</v>
      </c>
      <c r="L8" s="76">
        <v>378.9</v>
      </c>
      <c r="M8" s="22"/>
    </row>
    <row r="9" spans="1:13" ht="15.75" customHeight="1">
      <c r="A9" s="2"/>
      <c r="B9" s="84" t="s">
        <v>206</v>
      </c>
      <c r="C9" s="84" t="s">
        <v>912</v>
      </c>
      <c r="D9" s="76">
        <v>300</v>
      </c>
      <c r="E9" s="76">
        <v>300</v>
      </c>
      <c r="F9" s="76">
        <v>300</v>
      </c>
      <c r="G9" s="76">
        <v>300</v>
      </c>
      <c r="H9" s="76">
        <v>300</v>
      </c>
      <c r="I9" s="76">
        <v>360</v>
      </c>
      <c r="J9" s="502">
        <v>95.83</v>
      </c>
      <c r="K9" s="76">
        <v>33.049999999999997</v>
      </c>
      <c r="L9" s="76">
        <v>23.45</v>
      </c>
      <c r="M9" s="22"/>
    </row>
    <row r="10" spans="1:13" ht="15.75" customHeight="1">
      <c r="A10" s="2"/>
      <c r="B10" s="84" t="s">
        <v>208</v>
      </c>
      <c r="C10" s="84" t="s">
        <v>913</v>
      </c>
      <c r="D10" s="76">
        <v>50</v>
      </c>
      <c r="E10" s="76">
        <v>50</v>
      </c>
      <c r="F10" s="76">
        <v>50</v>
      </c>
      <c r="G10" s="76">
        <v>50</v>
      </c>
      <c r="H10" s="76">
        <v>50</v>
      </c>
      <c r="I10" s="76">
        <v>100</v>
      </c>
      <c r="J10" s="502"/>
      <c r="K10" s="76">
        <v>13.73</v>
      </c>
      <c r="L10" s="76">
        <v>13.73</v>
      </c>
      <c r="M10" s="22"/>
    </row>
    <row r="11" spans="1:13" ht="15.75" customHeight="1">
      <c r="A11" s="2"/>
      <c r="B11" s="84" t="s">
        <v>422</v>
      </c>
      <c r="C11" s="84" t="s">
        <v>914</v>
      </c>
      <c r="D11" s="76">
        <v>0</v>
      </c>
      <c r="E11" s="76">
        <v>0</v>
      </c>
      <c r="F11" s="293" t="s">
        <v>44</v>
      </c>
      <c r="G11" s="293" t="s">
        <v>44</v>
      </c>
      <c r="H11" s="76">
        <v>0</v>
      </c>
      <c r="I11" s="84" t="s">
        <v>44</v>
      </c>
      <c r="J11" s="502">
        <v>19265.25</v>
      </c>
      <c r="K11" s="76">
        <v>21879.68</v>
      </c>
      <c r="L11" s="76">
        <v>5057.84</v>
      </c>
      <c r="M11" s="22"/>
    </row>
    <row r="12" spans="1:13" ht="15.75" customHeight="1">
      <c r="A12" s="2"/>
      <c r="B12" s="84" t="s">
        <v>553</v>
      </c>
      <c r="C12" s="84" t="s">
        <v>915</v>
      </c>
      <c r="D12" s="245">
        <v>300</v>
      </c>
      <c r="E12" s="245">
        <v>300</v>
      </c>
      <c r="F12" s="76">
        <v>300</v>
      </c>
      <c r="G12" s="76">
        <v>300</v>
      </c>
      <c r="H12" s="76">
        <v>300</v>
      </c>
      <c r="I12" s="76">
        <v>600</v>
      </c>
      <c r="J12" s="502">
        <v>356.04</v>
      </c>
      <c r="K12" s="76">
        <v>31.38</v>
      </c>
      <c r="L12" s="76">
        <v>20.34</v>
      </c>
      <c r="M12" s="22"/>
    </row>
    <row r="13" spans="1:13" ht="15.75" customHeight="1">
      <c r="A13" s="2"/>
      <c r="B13" s="84" t="s">
        <v>212</v>
      </c>
      <c r="C13" s="84" t="s">
        <v>916</v>
      </c>
      <c r="D13" s="250">
        <v>10000</v>
      </c>
      <c r="E13" s="250">
        <v>10000</v>
      </c>
      <c r="F13" s="76">
        <v>13500</v>
      </c>
      <c r="G13" s="76">
        <v>13500</v>
      </c>
      <c r="H13" s="76">
        <v>13500</v>
      </c>
      <c r="I13" s="76">
        <v>500</v>
      </c>
      <c r="J13" s="502">
        <v>14207.45</v>
      </c>
      <c r="K13" s="76">
        <v>13317.54</v>
      </c>
      <c r="L13" s="76">
        <v>12988.32</v>
      </c>
      <c r="M13" s="22"/>
    </row>
    <row r="14" spans="1:13" ht="15.75" customHeight="1">
      <c r="A14" s="2"/>
      <c r="B14" s="84" t="s">
        <v>917</v>
      </c>
      <c r="C14" s="84" t="s">
        <v>918</v>
      </c>
      <c r="D14" s="251">
        <v>2360</v>
      </c>
      <c r="E14" s="251">
        <v>2360</v>
      </c>
      <c r="F14" s="76">
        <v>2660</v>
      </c>
      <c r="G14" s="76">
        <v>2660</v>
      </c>
      <c r="H14" s="76">
        <v>1920</v>
      </c>
      <c r="I14" s="76">
        <v>1600</v>
      </c>
      <c r="J14" s="502">
        <v>1459.04</v>
      </c>
      <c r="K14" s="76">
        <v>1386.13</v>
      </c>
      <c r="L14" s="76">
        <v>1386.13</v>
      </c>
      <c r="M14" s="22"/>
    </row>
    <row r="15" spans="1:13" ht="15.75" customHeight="1">
      <c r="A15" s="2"/>
      <c r="B15" s="84" t="s">
        <v>919</v>
      </c>
      <c r="C15" s="84" t="s">
        <v>920</v>
      </c>
      <c r="D15" s="76">
        <v>1220</v>
      </c>
      <c r="E15" s="76">
        <v>1220</v>
      </c>
      <c r="F15" s="76">
        <v>1220</v>
      </c>
      <c r="G15" s="76">
        <v>1220</v>
      </c>
      <c r="H15" s="76">
        <v>1220</v>
      </c>
      <c r="I15" s="76">
        <v>1220</v>
      </c>
      <c r="J15" s="502">
        <v>164.89</v>
      </c>
      <c r="K15" s="76">
        <v>31.5</v>
      </c>
      <c r="L15" s="76">
        <v>31.5</v>
      </c>
      <c r="M15" s="22"/>
    </row>
    <row r="16" spans="1:13" ht="15.75" customHeight="1">
      <c r="A16" s="2"/>
      <c r="B16" s="84" t="s">
        <v>921</v>
      </c>
      <c r="C16" s="84" t="s">
        <v>922</v>
      </c>
      <c r="D16" s="304"/>
      <c r="E16" s="304"/>
      <c r="F16" s="293" t="s">
        <v>44</v>
      </c>
      <c r="G16" s="293" t="s">
        <v>44</v>
      </c>
      <c r="H16" s="76">
        <v>0</v>
      </c>
      <c r="I16" s="84" t="s">
        <v>44</v>
      </c>
      <c r="J16" s="502"/>
      <c r="K16" s="76">
        <v>0</v>
      </c>
      <c r="L16" s="84" t="s">
        <v>44</v>
      </c>
      <c r="M16" s="22"/>
    </row>
    <row r="17" spans="1:13" ht="15.75" customHeight="1">
      <c r="A17" s="2"/>
      <c r="B17" s="252" t="s">
        <v>923</v>
      </c>
      <c r="C17" s="7"/>
      <c r="D17" s="7"/>
      <c r="E17" s="7"/>
      <c r="F17" s="134"/>
      <c r="G17" s="134"/>
      <c r="H17" s="134"/>
      <c r="I17" s="134"/>
      <c r="J17" s="502"/>
      <c r="K17" s="76"/>
      <c r="L17" s="134"/>
      <c r="M17" s="22"/>
    </row>
    <row r="18" spans="1:13" ht="15.75" customHeight="1">
      <c r="A18" s="2"/>
      <c r="B18" s="84" t="s">
        <v>216</v>
      </c>
      <c r="C18" s="84" t="s">
        <v>924</v>
      </c>
      <c r="D18" s="238">
        <v>5000</v>
      </c>
      <c r="E18" s="238">
        <v>5000</v>
      </c>
      <c r="F18" s="76">
        <v>6000</v>
      </c>
      <c r="G18" s="76">
        <v>6000</v>
      </c>
      <c r="H18" s="76">
        <v>6000</v>
      </c>
      <c r="I18" s="76">
        <v>100</v>
      </c>
      <c r="J18" s="502">
        <v>1424.14</v>
      </c>
      <c r="K18" s="76">
        <v>811.92999999999984</v>
      </c>
      <c r="L18" s="76">
        <v>1849.93</v>
      </c>
      <c r="M18" s="22"/>
    </row>
    <row r="19" spans="1:13" ht="15.75" customHeight="1">
      <c r="A19" s="2"/>
      <c r="B19" s="84" t="s">
        <v>925</v>
      </c>
      <c r="C19" s="84" t="s">
        <v>926</v>
      </c>
      <c r="D19" s="238">
        <v>1500</v>
      </c>
      <c r="E19" s="238">
        <v>1500</v>
      </c>
      <c r="F19" s="76">
        <v>1500</v>
      </c>
      <c r="G19" s="76">
        <v>1500</v>
      </c>
      <c r="H19" s="76">
        <v>1500</v>
      </c>
      <c r="I19" s="76">
        <v>1500</v>
      </c>
      <c r="J19" s="502">
        <v>803.36</v>
      </c>
      <c r="K19" s="76">
        <v>0</v>
      </c>
      <c r="L19" s="84" t="s">
        <v>44</v>
      </c>
      <c r="M19" s="22"/>
    </row>
    <row r="20" spans="1:13" ht="15.75" customHeight="1">
      <c r="A20" s="2"/>
      <c r="B20" s="84" t="s">
        <v>927</v>
      </c>
      <c r="C20" s="84" t="s">
        <v>928</v>
      </c>
      <c r="D20" s="238">
        <v>1000</v>
      </c>
      <c r="E20" s="238">
        <v>1000</v>
      </c>
      <c r="F20" s="76">
        <v>1000</v>
      </c>
      <c r="G20" s="76">
        <v>1000</v>
      </c>
      <c r="H20" s="76">
        <v>1000</v>
      </c>
      <c r="I20" s="76">
        <v>1200</v>
      </c>
      <c r="J20" s="502">
        <v>542.24</v>
      </c>
      <c r="K20" s="76">
        <v>0</v>
      </c>
      <c r="L20" s="84" t="s">
        <v>44</v>
      </c>
      <c r="M20" s="22"/>
    </row>
    <row r="21" spans="1:13" ht="15.75" customHeight="1">
      <c r="A21" s="2"/>
      <c r="B21" s="252" t="s">
        <v>929</v>
      </c>
      <c r="C21" s="7"/>
      <c r="D21" s="7"/>
      <c r="E21" s="7"/>
      <c r="F21" s="134"/>
      <c r="G21" s="134"/>
      <c r="H21" s="134"/>
      <c r="I21" s="134"/>
      <c r="J21" s="502"/>
      <c r="K21" s="76"/>
      <c r="L21" s="134"/>
      <c r="M21" s="22"/>
    </row>
    <row r="22" spans="1:13" ht="15.75" customHeight="1">
      <c r="A22" s="2"/>
      <c r="B22" s="84" t="s">
        <v>930</v>
      </c>
      <c r="C22" s="84" t="s">
        <v>931</v>
      </c>
      <c r="D22" s="238">
        <v>13500</v>
      </c>
      <c r="E22" s="238">
        <v>13500</v>
      </c>
      <c r="F22" s="76">
        <v>13500</v>
      </c>
      <c r="G22" s="76">
        <v>13500</v>
      </c>
      <c r="H22" s="76">
        <v>9000</v>
      </c>
      <c r="I22" s="84" t="s">
        <v>44</v>
      </c>
      <c r="J22" s="502">
        <v>10582.68</v>
      </c>
      <c r="K22" s="76">
        <v>19588.669999999998</v>
      </c>
      <c r="L22" s="84" t="s">
        <v>44</v>
      </c>
      <c r="M22" s="22"/>
    </row>
    <row r="23" spans="1:13" ht="15.75" customHeight="1">
      <c r="A23" s="2"/>
      <c r="B23" s="84" t="s">
        <v>932</v>
      </c>
      <c r="C23" s="84" t="s">
        <v>933</v>
      </c>
      <c r="D23" s="238">
        <v>16000</v>
      </c>
      <c r="E23" s="238">
        <v>16000</v>
      </c>
      <c r="F23" s="76">
        <v>10000</v>
      </c>
      <c r="G23" s="76">
        <v>10000</v>
      </c>
      <c r="H23" s="76">
        <v>10000</v>
      </c>
      <c r="I23" s="76">
        <v>8000</v>
      </c>
      <c r="J23" s="502">
        <v>10282.61</v>
      </c>
      <c r="K23" s="76">
        <v>9090.19</v>
      </c>
      <c r="L23" s="76">
        <v>7512.7</v>
      </c>
      <c r="M23" s="22"/>
    </row>
    <row r="24" spans="1:13" ht="15.75" customHeight="1">
      <c r="A24" s="2"/>
      <c r="B24" s="252" t="s">
        <v>934</v>
      </c>
      <c r="C24" s="7"/>
      <c r="D24" s="7"/>
      <c r="E24" s="7"/>
      <c r="F24" s="134"/>
      <c r="G24" s="134"/>
      <c r="H24" s="134"/>
      <c r="I24" s="134"/>
      <c r="J24" s="502"/>
      <c r="K24" s="76"/>
      <c r="L24" s="134"/>
      <c r="M24" s="22"/>
    </row>
    <row r="25" spans="1:13" ht="15.75" customHeight="1">
      <c r="A25" s="2"/>
      <c r="B25" s="84" t="s">
        <v>935</v>
      </c>
      <c r="C25" s="84" t="s">
        <v>936</v>
      </c>
      <c r="D25" s="238">
        <v>5000</v>
      </c>
      <c r="E25" s="238">
        <v>5000</v>
      </c>
      <c r="F25" s="76">
        <v>6000</v>
      </c>
      <c r="G25" s="76">
        <v>6000</v>
      </c>
      <c r="H25" s="76">
        <v>2000</v>
      </c>
      <c r="I25" s="76">
        <v>750</v>
      </c>
      <c r="J25" s="502">
        <v>2389.89</v>
      </c>
      <c r="K25" s="76">
        <v>0</v>
      </c>
      <c r="L25" s="84" t="s">
        <v>44</v>
      </c>
      <c r="M25" s="22"/>
    </row>
    <row r="26" spans="1:13" ht="15.75" customHeight="1">
      <c r="A26" s="2"/>
      <c r="B26" s="252" t="s">
        <v>937</v>
      </c>
      <c r="C26" s="254"/>
      <c r="D26" s="254"/>
      <c r="E26" s="254"/>
      <c r="F26" s="134"/>
      <c r="G26" s="134"/>
      <c r="H26" s="134"/>
      <c r="I26" s="134"/>
      <c r="J26" s="502"/>
      <c r="K26" s="76"/>
      <c r="L26" s="134"/>
      <c r="M26" s="22"/>
    </row>
    <row r="27" spans="1:13" ht="15.75" customHeight="1">
      <c r="A27" s="2"/>
      <c r="B27" s="84" t="s">
        <v>938</v>
      </c>
      <c r="C27" s="84" t="s">
        <v>939</v>
      </c>
      <c r="D27" s="238">
        <v>10000</v>
      </c>
      <c r="E27" s="238">
        <v>10000</v>
      </c>
      <c r="F27" s="76">
        <v>10000</v>
      </c>
      <c r="G27" s="76">
        <v>10000</v>
      </c>
      <c r="H27" s="76">
        <v>10000</v>
      </c>
      <c r="I27" s="84" t="s">
        <v>44</v>
      </c>
      <c r="J27" s="502">
        <v>8901.4599999999991</v>
      </c>
      <c r="K27" s="76">
        <v>10721.17</v>
      </c>
      <c r="L27" s="134"/>
      <c r="M27" s="22"/>
    </row>
    <row r="28" spans="1:13" ht="15.75" customHeight="1">
      <c r="A28" s="2"/>
      <c r="B28" s="84" t="s">
        <v>940</v>
      </c>
      <c r="C28" s="84" t="s">
        <v>941</v>
      </c>
      <c r="D28" s="238">
        <v>4000</v>
      </c>
      <c r="E28" s="238">
        <v>4000</v>
      </c>
      <c r="F28" s="76">
        <v>4000</v>
      </c>
      <c r="G28" s="76">
        <v>4000</v>
      </c>
      <c r="H28" s="76">
        <v>5000</v>
      </c>
      <c r="I28" s="76">
        <v>5000</v>
      </c>
      <c r="J28" s="502">
        <v>3350.96</v>
      </c>
      <c r="K28" s="76">
        <v>12540.45</v>
      </c>
      <c r="L28" s="76">
        <v>6890.46</v>
      </c>
      <c r="M28" s="22"/>
    </row>
    <row r="29" spans="1:13" ht="15.75" customHeight="1">
      <c r="A29" s="2"/>
      <c r="B29" s="84" t="s">
        <v>942</v>
      </c>
      <c r="C29" s="84" t="s">
        <v>943</v>
      </c>
      <c r="D29" s="238"/>
      <c r="E29" s="238"/>
      <c r="F29" s="76"/>
      <c r="G29" s="76"/>
      <c r="H29" s="76">
        <v>0</v>
      </c>
      <c r="I29" s="84" t="s">
        <v>44</v>
      </c>
      <c r="J29" s="502">
        <v>550</v>
      </c>
      <c r="K29" s="76">
        <v>-20</v>
      </c>
      <c r="L29" s="84" t="s">
        <v>44</v>
      </c>
      <c r="M29" s="22"/>
    </row>
    <row r="30" spans="1:13" ht="15.75" customHeight="1">
      <c r="A30" s="2"/>
      <c r="B30" s="84" t="s">
        <v>944</v>
      </c>
      <c r="C30" s="84" t="s">
        <v>945</v>
      </c>
      <c r="D30" s="238">
        <v>45000</v>
      </c>
      <c r="E30" s="238">
        <v>45000</v>
      </c>
      <c r="F30" s="76">
        <v>40000</v>
      </c>
      <c r="G30" s="76">
        <v>40000</v>
      </c>
      <c r="H30" s="76">
        <v>30000</v>
      </c>
      <c r="I30" s="76">
        <v>30000</v>
      </c>
      <c r="J30" s="502">
        <v>33902.18</v>
      </c>
      <c r="K30" s="76">
        <v>18235.43</v>
      </c>
      <c r="L30" s="84" t="s">
        <v>44</v>
      </c>
      <c r="M30" s="22"/>
    </row>
    <row r="31" spans="1:13" ht="15.75" customHeight="1">
      <c r="A31" s="2"/>
      <c r="B31" s="84" t="s">
        <v>946</v>
      </c>
      <c r="C31" s="84" t="s">
        <v>947</v>
      </c>
      <c r="D31" s="238">
        <v>2000</v>
      </c>
      <c r="E31" s="238">
        <v>2000</v>
      </c>
      <c r="F31" s="76">
        <v>2000</v>
      </c>
      <c r="G31" s="76">
        <v>2000</v>
      </c>
      <c r="H31" s="76">
        <v>2000</v>
      </c>
      <c r="I31" s="76">
        <v>2500</v>
      </c>
      <c r="J31" s="502">
        <v>1625.06</v>
      </c>
      <c r="K31" s="76">
        <v>1530</v>
      </c>
      <c r="L31" s="76">
        <v>1530</v>
      </c>
      <c r="M31" s="22"/>
    </row>
    <row r="32" spans="1:13" ht="15.75" customHeight="1">
      <c r="A32" s="2"/>
      <c r="B32" s="84" t="s">
        <v>948</v>
      </c>
      <c r="C32" s="84" t="s">
        <v>949</v>
      </c>
      <c r="D32" s="238">
        <v>10000</v>
      </c>
      <c r="E32" s="238">
        <v>10000</v>
      </c>
      <c r="F32" s="76">
        <v>10000</v>
      </c>
      <c r="G32" s="76">
        <v>10000</v>
      </c>
      <c r="H32" s="76">
        <v>10000</v>
      </c>
      <c r="I32" s="76">
        <v>10000</v>
      </c>
      <c r="J32" s="502">
        <v>10693.35</v>
      </c>
      <c r="K32" s="76">
        <v>22145.71</v>
      </c>
      <c r="L32" s="401">
        <v>0</v>
      </c>
      <c r="M32" s="22"/>
    </row>
    <row r="33" spans="1:13" ht="15.75" customHeight="1">
      <c r="A33" s="2"/>
      <c r="B33" s="84" t="s">
        <v>950</v>
      </c>
      <c r="C33" s="84" t="s">
        <v>951</v>
      </c>
      <c r="D33" s="238">
        <v>24000</v>
      </c>
      <c r="E33" s="238">
        <v>24000</v>
      </c>
      <c r="F33" s="76">
        <v>24000</v>
      </c>
      <c r="G33" s="76">
        <v>24000</v>
      </c>
      <c r="H33" s="76">
        <v>16000</v>
      </c>
      <c r="I33" s="76">
        <v>10000</v>
      </c>
      <c r="J33" s="502">
        <v>26737.119999999999</v>
      </c>
      <c r="K33" s="76">
        <v>19330</v>
      </c>
      <c r="L33" s="76">
        <v>6867.56</v>
      </c>
      <c r="M33" s="22"/>
    </row>
    <row r="34" spans="1:13" ht="15.75" customHeight="1">
      <c r="A34" s="2"/>
      <c r="B34" s="84" t="s">
        <v>952</v>
      </c>
      <c r="C34" s="84" t="s">
        <v>953</v>
      </c>
      <c r="D34" s="238"/>
      <c r="E34" s="238"/>
      <c r="F34" s="238"/>
      <c r="G34" s="238"/>
      <c r="H34" s="84" t="s">
        <v>44</v>
      </c>
      <c r="I34" s="84" t="s">
        <v>44</v>
      </c>
      <c r="J34" s="502"/>
      <c r="K34" s="76">
        <v>-232.8</v>
      </c>
      <c r="L34" s="76">
        <v>-232.8</v>
      </c>
      <c r="M34" s="22"/>
    </row>
    <row r="35" spans="1:13" ht="15.75" customHeight="1">
      <c r="A35" s="2"/>
      <c r="B35" s="252" t="s">
        <v>734</v>
      </c>
      <c r="C35" s="7"/>
      <c r="D35" s="7"/>
      <c r="E35" s="7"/>
      <c r="F35" s="134"/>
      <c r="G35" s="134"/>
      <c r="H35" s="134"/>
      <c r="I35" s="134"/>
      <c r="J35" s="502"/>
      <c r="K35" s="76"/>
      <c r="L35" s="134"/>
      <c r="M35" s="22"/>
    </row>
    <row r="36" spans="1:13" ht="15.75" customHeight="1">
      <c r="A36" s="2"/>
      <c r="B36" s="84" t="s">
        <v>954</v>
      </c>
      <c r="C36" s="84" t="s">
        <v>955</v>
      </c>
      <c r="D36" s="238">
        <v>-1500</v>
      </c>
      <c r="E36" s="238">
        <v>-1500</v>
      </c>
      <c r="F36" s="76">
        <v>-1500</v>
      </c>
      <c r="G36" s="76">
        <v>-1500</v>
      </c>
      <c r="H36" s="76">
        <v>-1500</v>
      </c>
      <c r="I36" s="76">
        <v>-5000</v>
      </c>
      <c r="J36" s="502"/>
      <c r="K36" s="76">
        <v>-47.450000000000053</v>
      </c>
      <c r="L36" s="401">
        <v>0</v>
      </c>
      <c r="M36" s="22"/>
    </row>
    <row r="37" spans="1:13" ht="15.75" customHeight="1">
      <c r="A37" s="45"/>
      <c r="B37" s="84" t="s">
        <v>956</v>
      </c>
      <c r="C37" s="84" t="s">
        <v>957</v>
      </c>
      <c r="D37" s="238">
        <v>-1000</v>
      </c>
      <c r="E37" s="238">
        <v>-1000</v>
      </c>
      <c r="F37" s="76">
        <v>-1000</v>
      </c>
      <c r="G37" s="76">
        <v>-1000</v>
      </c>
      <c r="H37" s="76">
        <v>-2000</v>
      </c>
      <c r="I37" s="76">
        <v>-3000</v>
      </c>
      <c r="J37" s="502"/>
      <c r="K37" s="76">
        <v>-2.590000000000003</v>
      </c>
      <c r="L37" s="76">
        <v>-2.59</v>
      </c>
      <c r="M37" s="22"/>
    </row>
    <row r="38" spans="1:13" ht="15.75" customHeight="1">
      <c r="A38" s="402" t="s">
        <v>958</v>
      </c>
      <c r="B38" s="84" t="s">
        <v>959</v>
      </c>
      <c r="C38" s="84" t="s">
        <v>960</v>
      </c>
      <c r="D38" s="238">
        <v>-20000</v>
      </c>
      <c r="E38" s="238">
        <v>-20000</v>
      </c>
      <c r="F38" s="76">
        <v>-16000</v>
      </c>
      <c r="G38" s="76">
        <v>-16000</v>
      </c>
      <c r="H38" s="76">
        <v>-16000</v>
      </c>
      <c r="I38" s="76">
        <v>-25000</v>
      </c>
      <c r="J38" s="502"/>
      <c r="K38" s="76">
        <v>0</v>
      </c>
      <c r="L38" s="84" t="s">
        <v>44</v>
      </c>
      <c r="M38" s="22"/>
    </row>
    <row r="39" spans="1:13" ht="15.75" customHeight="1">
      <c r="A39" s="402" t="s">
        <v>961</v>
      </c>
      <c r="B39" s="84" t="s">
        <v>435</v>
      </c>
      <c r="C39" s="84" t="s">
        <v>962</v>
      </c>
      <c r="D39" s="238">
        <v>-20000</v>
      </c>
      <c r="E39" s="238">
        <v>-20000</v>
      </c>
      <c r="F39" s="76">
        <v>-20000</v>
      </c>
      <c r="G39" s="76">
        <v>-20000</v>
      </c>
      <c r="H39" s="76">
        <v>-15000</v>
      </c>
      <c r="I39" s="76">
        <v>-7500</v>
      </c>
      <c r="J39" s="502"/>
      <c r="K39" s="76">
        <v>0</v>
      </c>
      <c r="L39" s="84" t="s">
        <v>44</v>
      </c>
      <c r="M39" s="22"/>
    </row>
    <row r="40" spans="1:13" ht="15.75" customHeight="1">
      <c r="A40" s="123"/>
      <c r="B40" s="84" t="s">
        <v>963</v>
      </c>
      <c r="C40" s="84" t="s">
        <v>964</v>
      </c>
      <c r="D40" s="238">
        <v>-15000</v>
      </c>
      <c r="E40" s="238">
        <v>-15000</v>
      </c>
      <c r="F40" s="76">
        <v>-8000</v>
      </c>
      <c r="G40" s="76">
        <v>-8000</v>
      </c>
      <c r="H40" s="76">
        <v>-8000</v>
      </c>
      <c r="I40" s="84" t="s">
        <v>44</v>
      </c>
      <c r="J40" s="502">
        <v>-3510.7</v>
      </c>
      <c r="K40" s="76">
        <v>-4635.28</v>
      </c>
      <c r="L40" s="76">
        <v>-1145.25</v>
      </c>
      <c r="M40" s="22"/>
    </row>
    <row r="41" spans="1:13" ht="15.75" customHeight="1">
      <c r="A41" s="2"/>
      <c r="B41" s="84" t="s">
        <v>965</v>
      </c>
      <c r="C41" s="84" t="s">
        <v>966</v>
      </c>
      <c r="D41" s="238">
        <v>-5000</v>
      </c>
      <c r="E41" s="238">
        <v>-5000</v>
      </c>
      <c r="F41" s="76">
        <v>-3000</v>
      </c>
      <c r="G41" s="76">
        <v>-3000</v>
      </c>
      <c r="H41" s="76">
        <v>-3000</v>
      </c>
      <c r="I41" s="76">
        <v>-2000</v>
      </c>
      <c r="J41" s="502">
        <v>-48866.94</v>
      </c>
      <c r="K41" s="76">
        <v>0</v>
      </c>
      <c r="L41" s="76">
        <v>-2474.35</v>
      </c>
      <c r="M41" s="22"/>
    </row>
    <row r="42" spans="1:13" ht="15.75" customHeight="1">
      <c r="A42" s="2"/>
      <c r="B42" s="84" t="s">
        <v>967</v>
      </c>
      <c r="C42" s="84" t="s">
        <v>968</v>
      </c>
      <c r="D42" s="238">
        <v>-20000</v>
      </c>
      <c r="E42" s="238">
        <v>-20000</v>
      </c>
      <c r="F42" s="76">
        <v>-20000</v>
      </c>
      <c r="G42" s="76">
        <v>-20000</v>
      </c>
      <c r="H42" s="76">
        <v>-21000</v>
      </c>
      <c r="I42" s="134"/>
      <c r="J42" s="502">
        <v>-5157.3900000000003</v>
      </c>
      <c r="K42" s="76">
        <v>-23436.34</v>
      </c>
      <c r="L42" s="134"/>
      <c r="M42" s="22"/>
    </row>
    <row r="43" spans="1:13" ht="15.75" customHeight="1">
      <c r="A43" s="2"/>
      <c r="B43" s="90" t="s">
        <v>948</v>
      </c>
      <c r="C43" s="90" t="s">
        <v>969</v>
      </c>
      <c r="D43" s="256">
        <v>-5000</v>
      </c>
      <c r="E43" s="256">
        <v>-5000</v>
      </c>
      <c r="F43" s="120">
        <v>-5000</v>
      </c>
      <c r="G43" s="120">
        <v>-5000</v>
      </c>
      <c r="H43" s="120">
        <v>-5000</v>
      </c>
      <c r="I43" s="265"/>
      <c r="J43" s="503">
        <v>-846.3</v>
      </c>
      <c r="K43" s="120">
        <v>-6040.35</v>
      </c>
      <c r="L43" s="265"/>
      <c r="M43" s="22"/>
    </row>
    <row r="44" spans="1:13" ht="15.75" customHeight="1">
      <c r="A44" s="2"/>
      <c r="B44" s="239"/>
      <c r="C44" s="54" t="s">
        <v>197</v>
      </c>
      <c r="D44" s="240">
        <f t="shared" ref="D44" si="0">SUM(D5:D43)</f>
        <v>306070.28000000003</v>
      </c>
      <c r="E44" s="240">
        <f t="shared" ref="E44:J44" si="1">SUM(E5:E43)</f>
        <v>306070.28000000003</v>
      </c>
      <c r="F44" s="240">
        <f t="shared" si="1"/>
        <v>286623.88</v>
      </c>
      <c r="G44" s="41">
        <f t="shared" si="1"/>
        <v>286623.88</v>
      </c>
      <c r="H44" s="41">
        <f t="shared" si="1"/>
        <v>200571.40000000002</v>
      </c>
      <c r="I44" s="41">
        <f t="shared" si="1"/>
        <v>147947</v>
      </c>
      <c r="J44" s="519">
        <f t="shared" si="1"/>
        <v>285572.86000000004</v>
      </c>
      <c r="K44" s="41">
        <v>257057.8899999999</v>
      </c>
      <c r="L44" s="337">
        <f>SUM(L5:L43)</f>
        <v>124552.54999999997</v>
      </c>
      <c r="M44" s="22"/>
    </row>
    <row r="45" spans="1:13" ht="15.75" customHeight="1">
      <c r="A45" s="2"/>
      <c r="B45" s="403" t="s">
        <v>93</v>
      </c>
      <c r="C45" s="404"/>
      <c r="D45" s="396"/>
      <c r="E45" s="396"/>
      <c r="F45" s="396"/>
      <c r="G45" s="397"/>
      <c r="H45" s="397"/>
      <c r="I45" s="397"/>
      <c r="J45" s="502"/>
      <c r="K45" s="70"/>
      <c r="L45" s="397"/>
      <c r="M45" s="22"/>
    </row>
    <row r="46" spans="1:13" ht="15.75" customHeight="1">
      <c r="A46" s="2"/>
      <c r="B46" s="274" t="s">
        <v>970</v>
      </c>
      <c r="C46" s="398"/>
      <c r="D46" s="398"/>
      <c r="E46" s="398"/>
      <c r="F46" s="398"/>
      <c r="G46" s="400"/>
      <c r="H46" s="400"/>
      <c r="I46" s="400"/>
      <c r="J46" s="502"/>
      <c r="K46" s="76"/>
      <c r="L46" s="400"/>
      <c r="M46" s="22"/>
    </row>
    <row r="47" spans="1:13" ht="15.75" customHeight="1">
      <c r="A47" s="2"/>
      <c r="B47" s="84" t="s">
        <v>360</v>
      </c>
      <c r="C47" s="84" t="s">
        <v>971</v>
      </c>
      <c r="D47" s="76">
        <v>22950</v>
      </c>
      <c r="E47" s="76">
        <v>22950</v>
      </c>
      <c r="F47" s="76">
        <v>22950</v>
      </c>
      <c r="G47" s="76">
        <v>22950</v>
      </c>
      <c r="H47" s="76">
        <v>22250</v>
      </c>
      <c r="I47" s="84" t="s">
        <v>44</v>
      </c>
      <c r="J47" s="502">
        <v>19417.03</v>
      </c>
      <c r="K47" s="76">
        <v>1486.48</v>
      </c>
      <c r="L47" s="76">
        <v>8493.25</v>
      </c>
      <c r="M47" s="22"/>
    </row>
    <row r="48" spans="1:13" ht="15.75" customHeight="1">
      <c r="A48" s="2"/>
      <c r="B48" s="84" t="s">
        <v>972</v>
      </c>
      <c r="C48" s="84" t="s">
        <v>973</v>
      </c>
      <c r="D48" s="76">
        <v>1250</v>
      </c>
      <c r="E48" s="76">
        <v>1250</v>
      </c>
      <c r="F48" s="76">
        <v>2500</v>
      </c>
      <c r="G48" s="76">
        <v>2500</v>
      </c>
      <c r="H48" s="76">
        <v>1500</v>
      </c>
      <c r="I48" s="76">
        <v>2023</v>
      </c>
      <c r="J48" s="502">
        <v>1452.76</v>
      </c>
      <c r="K48" s="76">
        <v>1308.48</v>
      </c>
      <c r="L48" s="76">
        <v>1308.48</v>
      </c>
      <c r="M48" s="22"/>
    </row>
    <row r="49" spans="1:13" ht="15.75" customHeight="1">
      <c r="A49" s="2"/>
      <c r="B49" s="84" t="s">
        <v>974</v>
      </c>
      <c r="C49" s="84" t="s">
        <v>975</v>
      </c>
      <c r="D49" s="76">
        <v>16500</v>
      </c>
      <c r="E49" s="76">
        <v>16500</v>
      </c>
      <c r="F49" s="76">
        <v>17500</v>
      </c>
      <c r="G49" s="76">
        <v>17500</v>
      </c>
      <c r="H49" s="76">
        <v>19000</v>
      </c>
      <c r="I49" s="76">
        <v>10200</v>
      </c>
      <c r="J49" s="502">
        <v>8758.67</v>
      </c>
      <c r="K49" s="76">
        <v>10204.57</v>
      </c>
      <c r="L49" s="76">
        <v>10204.57</v>
      </c>
      <c r="M49" s="22"/>
    </row>
    <row r="50" spans="1:13" ht="15.75" customHeight="1">
      <c r="A50" s="2"/>
      <c r="B50" s="84" t="s">
        <v>582</v>
      </c>
      <c r="C50" s="84" t="s">
        <v>976</v>
      </c>
      <c r="D50" s="76">
        <v>280000</v>
      </c>
      <c r="E50" s="76">
        <v>108000</v>
      </c>
      <c r="F50" s="76">
        <v>93000</v>
      </c>
      <c r="G50" s="76">
        <v>93000</v>
      </c>
      <c r="H50" s="76">
        <v>74200</v>
      </c>
      <c r="I50" s="76">
        <v>68170</v>
      </c>
      <c r="J50" s="502">
        <v>101652.73</v>
      </c>
      <c r="K50" s="76">
        <v>80630.61</v>
      </c>
      <c r="L50" s="76">
        <v>1098.42</v>
      </c>
      <c r="M50" s="22"/>
    </row>
    <row r="51" spans="1:13" ht="15.75" customHeight="1">
      <c r="A51" s="2"/>
      <c r="B51" s="84" t="s">
        <v>977</v>
      </c>
      <c r="C51" s="84" t="s">
        <v>978</v>
      </c>
      <c r="D51" s="76">
        <v>75000</v>
      </c>
      <c r="E51" s="76">
        <v>49000</v>
      </c>
      <c r="F51" s="76">
        <v>49000</v>
      </c>
      <c r="G51" s="76">
        <v>49000</v>
      </c>
      <c r="H51" s="76">
        <v>45500</v>
      </c>
      <c r="I51" s="76">
        <v>36176</v>
      </c>
      <c r="J51" s="502">
        <v>45047.33</v>
      </c>
      <c r="K51" s="76">
        <v>51512.59</v>
      </c>
      <c r="L51" s="76">
        <v>51512.59</v>
      </c>
      <c r="M51" s="22"/>
    </row>
    <row r="52" spans="1:13" ht="15.75" customHeight="1">
      <c r="A52" s="2"/>
      <c r="B52" s="84" t="s">
        <v>979</v>
      </c>
      <c r="C52" s="84" t="s">
        <v>980</v>
      </c>
      <c r="D52" s="76">
        <v>40000</v>
      </c>
      <c r="E52" s="76">
        <v>31000</v>
      </c>
      <c r="F52" s="76">
        <v>31000</v>
      </c>
      <c r="G52" s="76">
        <v>31000</v>
      </c>
      <c r="H52" s="76">
        <v>33000</v>
      </c>
      <c r="I52" s="76">
        <v>32750</v>
      </c>
      <c r="J52" s="502">
        <v>29812.5</v>
      </c>
      <c r="K52" s="76">
        <v>31512.5</v>
      </c>
      <c r="L52" s="76">
        <v>31512.5</v>
      </c>
      <c r="M52" s="22"/>
    </row>
    <row r="53" spans="1:13" ht="15.75" customHeight="1">
      <c r="A53" s="2"/>
      <c r="B53" s="84" t="s">
        <v>422</v>
      </c>
      <c r="C53" s="84" t="s">
        <v>981</v>
      </c>
      <c r="D53" s="76">
        <v>27550</v>
      </c>
      <c r="E53" s="76">
        <v>17550</v>
      </c>
      <c r="F53" s="76">
        <v>14550</v>
      </c>
      <c r="G53" s="76">
        <v>14550</v>
      </c>
      <c r="H53" s="76">
        <v>14050</v>
      </c>
      <c r="I53" s="76">
        <v>1900</v>
      </c>
      <c r="J53" s="502">
        <v>11200</v>
      </c>
      <c r="K53" s="76">
        <v>10296.790000000001</v>
      </c>
      <c r="L53" s="76">
        <v>10296.790000000001</v>
      </c>
      <c r="M53" s="22"/>
    </row>
    <row r="54" spans="1:13" ht="15.75" customHeight="1">
      <c r="A54" s="2"/>
      <c r="B54" s="84" t="s">
        <v>982</v>
      </c>
      <c r="C54" s="84" t="s">
        <v>983</v>
      </c>
      <c r="D54" s="76">
        <v>20000</v>
      </c>
      <c r="E54" s="76">
        <v>12000</v>
      </c>
      <c r="F54" s="76">
        <v>12000</v>
      </c>
      <c r="G54" s="76">
        <v>12000</v>
      </c>
      <c r="H54" s="76">
        <v>11000</v>
      </c>
      <c r="I54" s="76">
        <v>10500</v>
      </c>
      <c r="J54" s="502"/>
      <c r="K54" s="76">
        <v>0</v>
      </c>
      <c r="L54" s="84" t="s">
        <v>44</v>
      </c>
      <c r="M54" s="22"/>
    </row>
    <row r="55" spans="1:13" ht="15.75" customHeight="1">
      <c r="A55" s="2"/>
      <c r="B55" s="84" t="s">
        <v>169</v>
      </c>
      <c r="C55" s="84" t="s">
        <v>984</v>
      </c>
      <c r="D55" s="76"/>
      <c r="E55" s="76"/>
      <c r="F55" s="76">
        <v>0</v>
      </c>
      <c r="G55" s="76">
        <v>0</v>
      </c>
      <c r="H55" s="84" t="s">
        <v>44</v>
      </c>
      <c r="I55" s="84" t="s">
        <v>44</v>
      </c>
      <c r="J55" s="502"/>
      <c r="K55" s="76">
        <v>0</v>
      </c>
      <c r="L55" s="84" t="s">
        <v>44</v>
      </c>
      <c r="M55" s="22"/>
    </row>
    <row r="56" spans="1:13" ht="15.75" customHeight="1">
      <c r="A56" s="2"/>
      <c r="B56" s="84" t="s">
        <v>368</v>
      </c>
      <c r="C56" s="84" t="s">
        <v>985</v>
      </c>
      <c r="D56" s="76">
        <v>4500</v>
      </c>
      <c r="E56" s="76">
        <v>4500</v>
      </c>
      <c r="F56" s="76">
        <v>4500</v>
      </c>
      <c r="G56" s="76">
        <v>4500</v>
      </c>
      <c r="H56" s="76">
        <v>4500</v>
      </c>
      <c r="I56" s="76">
        <v>4030</v>
      </c>
      <c r="J56" s="502">
        <v>897.26</v>
      </c>
      <c r="K56" s="76">
        <v>2610.66</v>
      </c>
      <c r="L56" s="76">
        <v>2610.66</v>
      </c>
      <c r="M56" s="22"/>
    </row>
    <row r="57" spans="1:13" ht="15.75" customHeight="1">
      <c r="A57" s="2"/>
      <c r="B57" s="84" t="s">
        <v>986</v>
      </c>
      <c r="C57" s="84" t="s">
        <v>987</v>
      </c>
      <c r="D57" s="76"/>
      <c r="E57" s="76"/>
      <c r="F57" s="76">
        <v>0</v>
      </c>
      <c r="G57" s="76">
        <v>0</v>
      </c>
      <c r="H57" s="76">
        <v>0</v>
      </c>
      <c r="I57" s="76">
        <v>3726</v>
      </c>
      <c r="J57" s="502"/>
      <c r="K57" s="76">
        <v>0</v>
      </c>
      <c r="L57" s="84" t="s">
        <v>44</v>
      </c>
      <c r="M57" s="22"/>
    </row>
    <row r="58" spans="1:13" ht="15.75" customHeight="1">
      <c r="A58" s="2"/>
      <c r="B58" s="84" t="s">
        <v>988</v>
      </c>
      <c r="C58" s="84" t="s">
        <v>989</v>
      </c>
      <c r="D58" s="76"/>
      <c r="E58" s="76"/>
      <c r="F58" s="76">
        <v>0</v>
      </c>
      <c r="G58" s="76">
        <v>0</v>
      </c>
      <c r="H58" s="76">
        <v>0</v>
      </c>
      <c r="I58" s="84" t="s">
        <v>44</v>
      </c>
      <c r="J58" s="502"/>
      <c r="K58" s="76">
        <v>0</v>
      </c>
      <c r="L58" s="84" t="s">
        <v>44</v>
      </c>
      <c r="M58" s="22"/>
    </row>
    <row r="59" spans="1:13" ht="15.75" customHeight="1">
      <c r="A59" s="2"/>
      <c r="B59" s="84" t="s">
        <v>990</v>
      </c>
      <c r="C59" s="84" t="s">
        <v>991</v>
      </c>
      <c r="D59" s="76"/>
      <c r="E59" s="76"/>
      <c r="F59" s="76">
        <v>0</v>
      </c>
      <c r="G59" s="76">
        <v>0</v>
      </c>
      <c r="H59" s="76">
        <v>0</v>
      </c>
      <c r="I59" s="84" t="s">
        <v>44</v>
      </c>
      <c r="J59" s="502"/>
      <c r="K59" s="76">
        <v>0</v>
      </c>
      <c r="L59" s="84" t="s">
        <v>44</v>
      </c>
      <c r="M59" s="22"/>
    </row>
    <row r="60" spans="1:13" ht="15.75" customHeight="1">
      <c r="A60" s="2"/>
      <c r="B60" s="84" t="s">
        <v>826</v>
      </c>
      <c r="C60" s="84" t="s">
        <v>992</v>
      </c>
      <c r="D60" s="76"/>
      <c r="E60" s="76"/>
      <c r="F60" s="76"/>
      <c r="G60" s="76"/>
      <c r="H60" s="76">
        <v>0</v>
      </c>
      <c r="I60" s="76">
        <v>750</v>
      </c>
      <c r="J60" s="502"/>
      <c r="K60" s="76">
        <v>1890</v>
      </c>
      <c r="L60" s="76">
        <v>1890</v>
      </c>
      <c r="M60" s="22"/>
    </row>
    <row r="61" spans="1:13" ht="15.75" customHeight="1">
      <c r="A61" s="2"/>
      <c r="B61" s="84" t="s">
        <v>993</v>
      </c>
      <c r="C61" s="84" t="s">
        <v>994</v>
      </c>
      <c r="D61" s="76"/>
      <c r="E61" s="76"/>
      <c r="F61" s="76"/>
      <c r="G61" s="76"/>
      <c r="H61" s="76">
        <v>0</v>
      </c>
      <c r="I61" s="76">
        <v>7000</v>
      </c>
      <c r="J61" s="502"/>
      <c r="K61" s="76">
        <v>0</v>
      </c>
      <c r="L61" s="84" t="s">
        <v>44</v>
      </c>
      <c r="M61" s="22"/>
    </row>
    <row r="62" spans="1:13" ht="15.75" customHeight="1">
      <c r="A62" s="2"/>
      <c r="B62" s="84" t="s">
        <v>995</v>
      </c>
      <c r="C62" s="84" t="s">
        <v>996</v>
      </c>
      <c r="D62" s="76"/>
      <c r="E62" s="76"/>
      <c r="F62" s="76"/>
      <c r="G62" s="76"/>
      <c r="H62" s="76">
        <v>0</v>
      </c>
      <c r="I62" s="76">
        <v>3290</v>
      </c>
      <c r="J62" s="502"/>
      <c r="K62" s="76">
        <v>0</v>
      </c>
      <c r="L62" s="84" t="s">
        <v>44</v>
      </c>
      <c r="M62" s="22"/>
    </row>
    <row r="63" spans="1:13" ht="15.75" customHeight="1">
      <c r="A63" s="2"/>
      <c r="B63" s="84" t="s">
        <v>997</v>
      </c>
      <c r="C63" s="84" t="s">
        <v>998</v>
      </c>
      <c r="D63" s="76"/>
      <c r="E63" s="76"/>
      <c r="F63" s="76"/>
      <c r="G63" s="76"/>
      <c r="H63" s="76">
        <v>0</v>
      </c>
      <c r="I63" s="84" t="s">
        <v>44</v>
      </c>
      <c r="J63" s="502"/>
      <c r="K63" s="76">
        <v>0</v>
      </c>
      <c r="L63" s="84" t="s">
        <v>44</v>
      </c>
      <c r="M63" s="22"/>
    </row>
    <row r="64" spans="1:13" ht="15.75" customHeight="1">
      <c r="A64" s="2"/>
      <c r="B64" s="252" t="s">
        <v>999</v>
      </c>
      <c r="C64" s="7"/>
      <c r="D64" s="134"/>
      <c r="E64" s="134"/>
      <c r="F64" s="134"/>
      <c r="G64" s="134"/>
      <c r="H64" s="134"/>
      <c r="I64" s="134"/>
      <c r="J64" s="502"/>
      <c r="K64" s="76"/>
      <c r="L64" s="134"/>
      <c r="M64" s="22"/>
    </row>
    <row r="65" spans="1:13" ht="15.75" customHeight="1">
      <c r="A65" s="2"/>
      <c r="B65" s="84" t="s">
        <v>1000</v>
      </c>
      <c r="C65" s="84" t="s">
        <v>1001</v>
      </c>
      <c r="D65" s="76">
        <v>-185000</v>
      </c>
      <c r="E65" s="76">
        <v>-152000</v>
      </c>
      <c r="F65" s="76">
        <v>-158500</v>
      </c>
      <c r="G65" s="76">
        <v>-158500</v>
      </c>
      <c r="H65" s="76">
        <v>-123885.5</v>
      </c>
      <c r="I65" s="76">
        <v>-67100</v>
      </c>
      <c r="J65" s="502">
        <v>-132718.04</v>
      </c>
      <c r="K65" s="76">
        <v>-188927.61</v>
      </c>
      <c r="L65" s="76">
        <v>-188927.61</v>
      </c>
      <c r="M65" s="22"/>
    </row>
    <row r="66" spans="1:13" ht="15.75" customHeight="1">
      <c r="A66" s="2"/>
      <c r="B66" s="84" t="s">
        <v>435</v>
      </c>
      <c r="C66" s="84" t="s">
        <v>1002</v>
      </c>
      <c r="D66" s="76">
        <v>-50000</v>
      </c>
      <c r="E66" s="76">
        <v>-30000</v>
      </c>
      <c r="F66" s="76">
        <v>-31500</v>
      </c>
      <c r="G66" s="76">
        <v>-31500</v>
      </c>
      <c r="H66" s="76">
        <v>-27149.5</v>
      </c>
      <c r="I66" s="76">
        <v>-20000</v>
      </c>
      <c r="J66" s="502">
        <v>-53857.599999999999</v>
      </c>
      <c r="K66" s="76">
        <v>-26500</v>
      </c>
      <c r="L66" s="76">
        <v>-26500</v>
      </c>
      <c r="M66" s="22"/>
    </row>
    <row r="67" spans="1:13" ht="15.75" customHeight="1">
      <c r="A67" s="2"/>
      <c r="B67" s="84" t="s">
        <v>1003</v>
      </c>
      <c r="C67" s="304"/>
      <c r="D67" s="76"/>
      <c r="E67" s="76"/>
      <c r="F67" s="76">
        <v>-2000</v>
      </c>
      <c r="G67" s="76">
        <v>-2000</v>
      </c>
      <c r="H67" s="76"/>
      <c r="I67" s="76"/>
      <c r="J67" s="502"/>
      <c r="K67" s="76"/>
      <c r="L67" s="76"/>
      <c r="M67" s="22"/>
    </row>
    <row r="68" spans="1:13" ht="15.75" customHeight="1">
      <c r="A68" s="2"/>
      <c r="B68" s="90" t="s">
        <v>1004</v>
      </c>
      <c r="C68" s="90" t="s">
        <v>1005</v>
      </c>
      <c r="D68" s="120">
        <v>-15750</v>
      </c>
      <c r="E68" s="120">
        <v>-32750</v>
      </c>
      <c r="F68" s="120">
        <v>-20000</v>
      </c>
      <c r="G68" s="120">
        <v>-20000</v>
      </c>
      <c r="H68" s="120">
        <v>-25000</v>
      </c>
      <c r="I68" s="120">
        <v>-30000</v>
      </c>
      <c r="J68" s="503">
        <v>-14641.89</v>
      </c>
      <c r="K68" s="120">
        <v>-22893.02</v>
      </c>
      <c r="L68" s="120">
        <v>-22893.02</v>
      </c>
      <c r="M68" s="22"/>
    </row>
    <row r="69" spans="1:13" ht="15.75" customHeight="1">
      <c r="A69" s="268">
        <v>25000</v>
      </c>
      <c r="B69" s="239"/>
      <c r="C69" s="54" t="s">
        <v>197</v>
      </c>
      <c r="D69" s="240">
        <f t="shared" ref="D69" si="2">SUM(D47:D68)</f>
        <v>237000</v>
      </c>
      <c r="E69" s="240">
        <f t="shared" ref="E69:J69" si="3">SUM(E47:E68)</f>
        <v>48000</v>
      </c>
      <c r="F69" s="240">
        <f t="shared" si="3"/>
        <v>35000</v>
      </c>
      <c r="G69" s="41">
        <f t="shared" si="3"/>
        <v>35000</v>
      </c>
      <c r="H69" s="41">
        <f t="shared" si="3"/>
        <v>48965</v>
      </c>
      <c r="I69" s="41">
        <f t="shared" si="3"/>
        <v>63415</v>
      </c>
      <c r="J69" s="519">
        <f t="shared" si="3"/>
        <v>17020.750000000022</v>
      </c>
      <c r="K69" s="41">
        <v>-46867.95</v>
      </c>
      <c r="L69" s="41">
        <f>SUM(L47:L68)</f>
        <v>-119393.36999999998</v>
      </c>
      <c r="M69" s="22"/>
    </row>
    <row r="70" spans="1:13" ht="15.75" customHeight="1">
      <c r="A70" s="2"/>
      <c r="B70" s="403" t="s">
        <v>91</v>
      </c>
      <c r="C70" s="404"/>
      <c r="D70" s="396"/>
      <c r="E70" s="396"/>
      <c r="F70" s="396"/>
      <c r="G70" s="397"/>
      <c r="H70" s="397"/>
      <c r="I70" s="397"/>
      <c r="J70" s="502"/>
      <c r="K70" s="70"/>
      <c r="L70" s="397"/>
      <c r="M70" s="22"/>
    </row>
    <row r="71" spans="1:13" ht="15.75" customHeight="1">
      <c r="A71" s="2"/>
      <c r="B71" s="274" t="s">
        <v>905</v>
      </c>
      <c r="C71" s="398"/>
      <c r="D71" s="405"/>
      <c r="E71" s="405"/>
      <c r="F71" s="398"/>
      <c r="G71" s="400"/>
      <c r="H71" s="400"/>
      <c r="I71" s="400"/>
      <c r="J71" s="502"/>
      <c r="K71" s="76"/>
      <c r="L71" s="400"/>
      <c r="M71" s="22"/>
    </row>
    <row r="72" spans="1:13" ht="15.75" customHeight="1">
      <c r="A72" s="2"/>
      <c r="B72" s="84" t="s">
        <v>360</v>
      </c>
      <c r="C72" s="84" t="s">
        <v>1006</v>
      </c>
      <c r="D72" s="250">
        <v>52056</v>
      </c>
      <c r="E72" s="250">
        <v>52056</v>
      </c>
      <c r="F72" s="76">
        <v>62466</v>
      </c>
      <c r="G72" s="76">
        <v>62466</v>
      </c>
      <c r="H72" s="76">
        <v>38760</v>
      </c>
      <c r="I72" s="76">
        <v>28456.25</v>
      </c>
      <c r="J72" s="502">
        <v>29232.12</v>
      </c>
      <c r="K72" s="76">
        <v>22770.84</v>
      </c>
      <c r="L72" s="76">
        <v>22770.84</v>
      </c>
      <c r="M72" s="22"/>
    </row>
    <row r="73" spans="1:13" ht="15.75" customHeight="1">
      <c r="A73" s="2"/>
      <c r="B73" s="84" t="s">
        <v>908</v>
      </c>
      <c r="C73" s="84" t="s">
        <v>1007</v>
      </c>
      <c r="D73" s="250">
        <v>5000</v>
      </c>
      <c r="E73" s="250">
        <v>5000</v>
      </c>
      <c r="F73" s="76">
        <v>5000</v>
      </c>
      <c r="G73" s="76">
        <v>5000</v>
      </c>
      <c r="H73" s="76"/>
      <c r="I73" s="76"/>
      <c r="J73" s="502"/>
      <c r="K73" s="76">
        <v>0</v>
      </c>
      <c r="L73" s="76"/>
      <c r="M73" s="22"/>
    </row>
    <row r="74" spans="1:13" ht="15.75" customHeight="1">
      <c r="A74" s="2"/>
      <c r="B74" s="84" t="s">
        <v>230</v>
      </c>
      <c r="C74" s="84" t="s">
        <v>1008</v>
      </c>
      <c r="D74" s="251">
        <v>4164.4799999999996</v>
      </c>
      <c r="E74" s="251">
        <v>4164.4799999999996</v>
      </c>
      <c r="F74" s="76">
        <v>6446.6</v>
      </c>
      <c r="G74" s="76">
        <v>6446.6</v>
      </c>
      <c r="H74" s="76">
        <v>4076</v>
      </c>
      <c r="I74" s="76">
        <v>2555.63</v>
      </c>
      <c r="J74" s="502">
        <v>2626.51</v>
      </c>
      <c r="K74" s="76">
        <v>2213</v>
      </c>
      <c r="L74" s="76">
        <v>2213</v>
      </c>
      <c r="M74" s="22"/>
    </row>
    <row r="75" spans="1:13" ht="15.75" customHeight="1">
      <c r="A75" s="2"/>
      <c r="B75" s="84" t="s">
        <v>204</v>
      </c>
      <c r="C75" s="84" t="s">
        <v>1009</v>
      </c>
      <c r="D75" s="76">
        <v>0</v>
      </c>
      <c r="E75" s="76">
        <v>0</v>
      </c>
      <c r="F75" s="76">
        <v>360</v>
      </c>
      <c r="G75" s="76">
        <v>360</v>
      </c>
      <c r="H75" s="76">
        <v>300</v>
      </c>
      <c r="I75" s="76">
        <v>420</v>
      </c>
      <c r="J75" s="502"/>
      <c r="K75" s="76">
        <v>10.7</v>
      </c>
      <c r="L75" s="76">
        <v>10.7</v>
      </c>
      <c r="M75" s="22"/>
    </row>
    <row r="76" spans="1:13" ht="15.75" customHeight="1">
      <c r="A76" s="2"/>
      <c r="B76" s="84" t="s">
        <v>206</v>
      </c>
      <c r="C76" s="84" t="s">
        <v>1010</v>
      </c>
      <c r="D76" s="76">
        <v>200</v>
      </c>
      <c r="E76" s="76">
        <v>200</v>
      </c>
      <c r="F76" s="76">
        <v>200</v>
      </c>
      <c r="G76" s="76">
        <v>200</v>
      </c>
      <c r="H76" s="76">
        <v>200</v>
      </c>
      <c r="I76" s="76">
        <v>200</v>
      </c>
      <c r="J76" s="502"/>
      <c r="K76" s="76">
        <v>1.3</v>
      </c>
      <c r="L76" s="76">
        <v>1.3</v>
      </c>
      <c r="M76" s="22"/>
    </row>
    <row r="77" spans="1:13" ht="15.75" customHeight="1">
      <c r="A77" s="2"/>
      <c r="B77" s="84" t="s">
        <v>208</v>
      </c>
      <c r="C77" s="84" t="s">
        <v>1011</v>
      </c>
      <c r="D77" s="76">
        <v>100</v>
      </c>
      <c r="E77" s="76">
        <v>100</v>
      </c>
      <c r="F77" s="76">
        <v>100</v>
      </c>
      <c r="G77" s="76">
        <v>100</v>
      </c>
      <c r="H77" s="76">
        <v>150</v>
      </c>
      <c r="I77" s="76">
        <v>150</v>
      </c>
      <c r="J77" s="502">
        <v>23.5</v>
      </c>
      <c r="K77" s="76">
        <v>0</v>
      </c>
      <c r="L77" s="238">
        <v>0</v>
      </c>
      <c r="M77" s="22"/>
    </row>
    <row r="78" spans="1:13" ht="15.75" customHeight="1">
      <c r="A78" s="2"/>
      <c r="B78" s="84" t="s">
        <v>422</v>
      </c>
      <c r="C78" s="84" t="s">
        <v>1012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650</v>
      </c>
      <c r="J78" s="502">
        <v>55.35</v>
      </c>
      <c r="K78" s="76">
        <v>0</v>
      </c>
      <c r="L78" s="238">
        <v>0</v>
      </c>
      <c r="M78" s="22"/>
    </row>
    <row r="79" spans="1:13" ht="15.75" customHeight="1">
      <c r="A79" s="285" t="s">
        <v>1013</v>
      </c>
      <c r="B79" s="252" t="s">
        <v>1014</v>
      </c>
      <c r="C79" s="252" t="s">
        <v>1015</v>
      </c>
      <c r="D79" s="294"/>
      <c r="E79" s="294"/>
      <c r="F79" s="294"/>
      <c r="G79" s="76"/>
      <c r="H79" s="76"/>
      <c r="I79" s="76"/>
      <c r="J79" s="502">
        <v>1135</v>
      </c>
      <c r="K79" s="76"/>
      <c r="L79" s="238"/>
      <c r="M79" s="22"/>
    </row>
    <row r="80" spans="1:13" ht="15.75" customHeight="1">
      <c r="A80" s="2"/>
      <c r="B80" s="84" t="s">
        <v>169</v>
      </c>
      <c r="C80" s="84" t="s">
        <v>1016</v>
      </c>
      <c r="D80" s="76"/>
      <c r="E80" s="76"/>
      <c r="F80" s="76">
        <v>100</v>
      </c>
      <c r="G80" s="76">
        <v>100</v>
      </c>
      <c r="H80" s="76">
        <v>400</v>
      </c>
      <c r="I80" s="76">
        <v>400</v>
      </c>
      <c r="J80" s="502"/>
      <c r="K80" s="76">
        <v>0</v>
      </c>
      <c r="L80" s="238">
        <v>0</v>
      </c>
      <c r="M80" s="22"/>
    </row>
    <row r="81" spans="1:13" ht="15.75" customHeight="1">
      <c r="A81" s="406" t="s">
        <v>1013</v>
      </c>
      <c r="B81" s="252" t="s">
        <v>1017</v>
      </c>
      <c r="C81" s="252" t="s">
        <v>1018</v>
      </c>
      <c r="D81" s="407"/>
      <c r="E81" s="407"/>
      <c r="F81" s="294"/>
      <c r="G81" s="76"/>
      <c r="H81" s="76"/>
      <c r="I81" s="76"/>
      <c r="J81" s="502">
        <v>63.16</v>
      </c>
      <c r="K81" s="76"/>
      <c r="L81" s="182"/>
      <c r="M81" s="19"/>
    </row>
    <row r="82" spans="1:13" ht="15.75" customHeight="1">
      <c r="A82" s="122" t="s">
        <v>1019</v>
      </c>
      <c r="B82" s="84" t="s">
        <v>1020</v>
      </c>
      <c r="C82" s="84" t="s">
        <v>1021</v>
      </c>
      <c r="D82" s="250">
        <v>30000</v>
      </c>
      <c r="E82" s="250">
        <v>30000</v>
      </c>
      <c r="F82" s="76">
        <v>20000</v>
      </c>
      <c r="G82" s="76">
        <v>30000</v>
      </c>
      <c r="H82" s="76">
        <v>25000</v>
      </c>
      <c r="I82" s="76">
        <v>23290</v>
      </c>
      <c r="J82" s="502">
        <v>25727.77</v>
      </c>
      <c r="K82" s="76">
        <v>20812.21</v>
      </c>
      <c r="L82" s="76">
        <v>20812.21</v>
      </c>
      <c r="M82" s="22"/>
    </row>
    <row r="83" spans="1:13" ht="15.75" customHeight="1">
      <c r="A83" s="123"/>
      <c r="B83" s="84" t="s">
        <v>990</v>
      </c>
      <c r="C83" s="84" t="s">
        <v>1022</v>
      </c>
      <c r="D83" s="251">
        <v>1500</v>
      </c>
      <c r="E83" s="251">
        <v>1500</v>
      </c>
      <c r="F83" s="76">
        <v>1500</v>
      </c>
      <c r="G83" s="76">
        <v>1500</v>
      </c>
      <c r="H83" s="76">
        <v>1500</v>
      </c>
      <c r="I83" s="84" t="s">
        <v>44</v>
      </c>
      <c r="J83" s="502"/>
      <c r="K83" s="76">
        <v>2372.1799999999998</v>
      </c>
      <c r="L83" s="238">
        <v>0</v>
      </c>
      <c r="M83" s="22"/>
    </row>
    <row r="84" spans="1:13" ht="15.75" customHeight="1">
      <c r="A84" s="2"/>
      <c r="B84" s="84" t="s">
        <v>1023</v>
      </c>
      <c r="C84" s="84" t="s">
        <v>1024</v>
      </c>
      <c r="D84" s="76">
        <v>65000</v>
      </c>
      <c r="E84" s="76">
        <v>65000</v>
      </c>
      <c r="F84" s="76">
        <v>55000</v>
      </c>
      <c r="G84" s="76">
        <v>55000</v>
      </c>
      <c r="H84" s="76">
        <v>48200</v>
      </c>
      <c r="I84" s="76">
        <v>21325</v>
      </c>
      <c r="J84" s="502">
        <v>66846.679999999993</v>
      </c>
      <c r="K84" s="76">
        <v>45390.43</v>
      </c>
      <c r="L84" s="76">
        <v>39191.17</v>
      </c>
      <c r="M84" s="22"/>
    </row>
    <row r="85" spans="1:13" ht="15.75" customHeight="1">
      <c r="A85" s="2"/>
      <c r="B85" s="84" t="s">
        <v>826</v>
      </c>
      <c r="C85" s="84" t="s">
        <v>1025</v>
      </c>
      <c r="D85" s="76">
        <v>0</v>
      </c>
      <c r="E85" s="76">
        <v>0</v>
      </c>
      <c r="F85" s="76">
        <v>500</v>
      </c>
      <c r="G85" s="76">
        <v>500</v>
      </c>
      <c r="H85" s="76">
        <v>500</v>
      </c>
      <c r="I85" s="84" t="s">
        <v>44</v>
      </c>
      <c r="J85" s="502">
        <v>20.56</v>
      </c>
      <c r="K85" s="76">
        <v>0</v>
      </c>
      <c r="L85" s="84" t="s">
        <v>44</v>
      </c>
      <c r="M85" s="22"/>
    </row>
    <row r="86" spans="1:13" ht="15.75" customHeight="1">
      <c r="A86" s="2"/>
      <c r="B86" s="84" t="s">
        <v>982</v>
      </c>
      <c r="C86" s="84" t="s">
        <v>1026</v>
      </c>
      <c r="D86" s="76">
        <v>3500</v>
      </c>
      <c r="E86" s="76">
        <v>3500</v>
      </c>
      <c r="F86" s="76">
        <f t="shared" ref="F86:G86" si="4">2500+3500</f>
        <v>6000</v>
      </c>
      <c r="G86" s="76">
        <f t="shared" si="4"/>
        <v>6000</v>
      </c>
      <c r="H86" s="76">
        <v>4500</v>
      </c>
      <c r="I86" s="76">
        <v>2000</v>
      </c>
      <c r="J86" s="502"/>
      <c r="K86" s="76">
        <v>781.38</v>
      </c>
      <c r="L86" s="84" t="s">
        <v>44</v>
      </c>
      <c r="M86" s="22"/>
    </row>
    <row r="87" spans="1:13" ht="15.75" customHeight="1">
      <c r="A87" s="2"/>
      <c r="B87" s="84" t="s">
        <v>1027</v>
      </c>
      <c r="C87" s="84" t="s">
        <v>1028</v>
      </c>
      <c r="D87" s="76">
        <v>5000</v>
      </c>
      <c r="E87" s="76">
        <v>5000</v>
      </c>
      <c r="F87" s="76">
        <v>5000</v>
      </c>
      <c r="G87" s="76">
        <v>5000</v>
      </c>
      <c r="H87" s="76">
        <v>5000</v>
      </c>
      <c r="I87" s="76">
        <v>8000</v>
      </c>
      <c r="J87" s="502"/>
      <c r="K87" s="76">
        <v>21612.94</v>
      </c>
      <c r="L87" s="76">
        <v>2612.94</v>
      </c>
      <c r="M87" s="22"/>
    </row>
    <row r="88" spans="1:13" ht="15.75" customHeight="1">
      <c r="A88" s="2"/>
      <c r="B88" s="84" t="s">
        <v>1029</v>
      </c>
      <c r="C88" s="84" t="s">
        <v>1030</v>
      </c>
      <c r="D88" s="76">
        <v>1500</v>
      </c>
      <c r="E88" s="76">
        <v>1500</v>
      </c>
      <c r="F88" s="76">
        <v>1500</v>
      </c>
      <c r="G88" s="76">
        <v>1500</v>
      </c>
      <c r="H88" s="76">
        <v>1500</v>
      </c>
      <c r="I88" s="84" t="s">
        <v>44</v>
      </c>
      <c r="J88" s="502">
        <v>3190.39</v>
      </c>
      <c r="K88" s="76">
        <v>1846.17</v>
      </c>
      <c r="L88" s="76">
        <v>1846.17</v>
      </c>
      <c r="M88" s="22"/>
    </row>
    <row r="89" spans="1:13" ht="15.75" customHeight="1">
      <c r="A89" s="2"/>
      <c r="B89" s="84" t="s">
        <v>930</v>
      </c>
      <c r="C89" s="84" t="s">
        <v>1031</v>
      </c>
      <c r="D89" s="76">
        <v>6000</v>
      </c>
      <c r="E89" s="76">
        <v>6000</v>
      </c>
      <c r="F89" s="76">
        <v>6000</v>
      </c>
      <c r="G89" s="76">
        <v>6000</v>
      </c>
      <c r="H89" s="76">
        <v>0</v>
      </c>
      <c r="I89" s="134">
        <v>0</v>
      </c>
      <c r="J89" s="502"/>
      <c r="K89" s="76">
        <v>1400</v>
      </c>
      <c r="L89" s="134">
        <v>0</v>
      </c>
      <c r="M89" s="22"/>
    </row>
    <row r="90" spans="1:13" ht="15.75" customHeight="1">
      <c r="A90" s="2"/>
      <c r="B90" s="84" t="s">
        <v>368</v>
      </c>
      <c r="C90" s="84" t="s">
        <v>1032</v>
      </c>
      <c r="D90" s="76">
        <v>15000</v>
      </c>
      <c r="E90" s="76">
        <v>15000</v>
      </c>
      <c r="F90" s="76">
        <v>12000</v>
      </c>
      <c r="G90" s="76">
        <v>12000</v>
      </c>
      <c r="H90" s="76">
        <v>14500</v>
      </c>
      <c r="I90" s="76">
        <v>17000</v>
      </c>
      <c r="J90" s="502">
        <v>22135.68</v>
      </c>
      <c r="K90" s="76">
        <v>9950.73</v>
      </c>
      <c r="L90" s="76">
        <v>9950.73</v>
      </c>
      <c r="M90" s="22"/>
    </row>
    <row r="91" spans="1:13" ht="15.75" customHeight="1">
      <c r="A91" s="2"/>
      <c r="B91" s="84" t="s">
        <v>927</v>
      </c>
      <c r="C91" s="84" t="s">
        <v>1033</v>
      </c>
      <c r="D91" s="134"/>
      <c r="E91" s="134"/>
      <c r="F91" s="134"/>
      <c r="G91" s="134"/>
      <c r="H91" s="134"/>
      <c r="I91" s="134"/>
      <c r="J91" s="502">
        <v>2410.4499999999998</v>
      </c>
      <c r="K91" s="76">
        <v>2410.4499999999998</v>
      </c>
      <c r="L91" s="134"/>
      <c r="M91" s="22"/>
    </row>
    <row r="92" spans="1:13" ht="15.75" customHeight="1">
      <c r="A92" s="2"/>
      <c r="B92" s="84" t="s">
        <v>705</v>
      </c>
      <c r="C92" s="84" t="s">
        <v>1034</v>
      </c>
      <c r="D92" s="76">
        <v>2500</v>
      </c>
      <c r="E92" s="76">
        <v>2500</v>
      </c>
      <c r="F92" s="76">
        <v>2000</v>
      </c>
      <c r="G92" s="76">
        <v>2000</v>
      </c>
      <c r="H92" s="76">
        <v>1000</v>
      </c>
      <c r="I92" s="84" t="s">
        <v>44</v>
      </c>
      <c r="J92" s="502">
        <v>1245.19</v>
      </c>
      <c r="K92" s="76">
        <v>373.73</v>
      </c>
      <c r="L92" s="84" t="s">
        <v>44</v>
      </c>
      <c r="M92" s="22"/>
    </row>
    <row r="93" spans="1:13" ht="15.75" customHeight="1">
      <c r="A93" s="2"/>
      <c r="B93" s="252" t="s">
        <v>999</v>
      </c>
      <c r="C93" s="254"/>
      <c r="D93" s="134"/>
      <c r="E93" s="134"/>
      <c r="F93" s="134"/>
      <c r="G93" s="134"/>
      <c r="H93" s="134"/>
      <c r="I93" s="134"/>
      <c r="J93" s="502"/>
      <c r="K93" s="76"/>
      <c r="L93" s="134"/>
      <c r="M93" s="22"/>
    </row>
    <row r="94" spans="1:13" ht="15.75" customHeight="1">
      <c r="A94" s="2"/>
      <c r="B94" s="84" t="s">
        <v>435</v>
      </c>
      <c r="C94" s="84" t="s">
        <v>1035</v>
      </c>
      <c r="D94" s="76">
        <v>-75000</v>
      </c>
      <c r="E94" s="76">
        <v>-75000</v>
      </c>
      <c r="F94" s="76">
        <v>-75000</v>
      </c>
      <c r="G94" s="76">
        <v>-75000</v>
      </c>
      <c r="H94" s="76">
        <v>-50000</v>
      </c>
      <c r="I94" s="76">
        <v>-95300</v>
      </c>
      <c r="J94" s="502">
        <v>-78025</v>
      </c>
      <c r="K94" s="76">
        <v>0</v>
      </c>
      <c r="L94" s="76">
        <v>-72640</v>
      </c>
      <c r="M94" s="22"/>
    </row>
    <row r="95" spans="1:13" ht="15.75" customHeight="1">
      <c r="A95" s="2"/>
      <c r="B95" s="84" t="s">
        <v>743</v>
      </c>
      <c r="C95" s="84" t="s">
        <v>1036</v>
      </c>
      <c r="D95" s="76"/>
      <c r="E95" s="76"/>
      <c r="F95" s="76">
        <v>0</v>
      </c>
      <c r="G95" s="76">
        <v>0</v>
      </c>
      <c r="H95" s="76">
        <v>0</v>
      </c>
      <c r="I95" s="84" t="s">
        <v>44</v>
      </c>
      <c r="J95" s="502"/>
      <c r="K95" s="76">
        <v>0</v>
      </c>
      <c r="L95" s="84" t="s">
        <v>44</v>
      </c>
      <c r="M95" s="22"/>
    </row>
    <row r="96" spans="1:13" ht="15.75" customHeight="1">
      <c r="A96" s="2"/>
      <c r="B96" s="84" t="s">
        <v>1037</v>
      </c>
      <c r="C96" s="84" t="s">
        <v>1038</v>
      </c>
      <c r="D96" s="76">
        <v>-40000</v>
      </c>
      <c r="E96" s="76">
        <v>-40000</v>
      </c>
      <c r="F96" s="76">
        <v>-40000</v>
      </c>
      <c r="G96" s="76">
        <v>-40000</v>
      </c>
      <c r="H96" s="76">
        <v>-35000</v>
      </c>
      <c r="I96" s="76">
        <v>1800</v>
      </c>
      <c r="J96" s="502"/>
      <c r="K96" s="76">
        <v>-49973.2</v>
      </c>
      <c r="L96" s="76">
        <v>-49973.2</v>
      </c>
      <c r="M96" s="22"/>
    </row>
    <row r="97" spans="1:13" ht="15.75" customHeight="1">
      <c r="A97" s="2"/>
      <c r="B97" s="90" t="s">
        <v>1000</v>
      </c>
      <c r="C97" s="90" t="s">
        <v>1039</v>
      </c>
      <c r="D97" s="120">
        <v>-17350</v>
      </c>
      <c r="E97" s="120">
        <v>-17350</v>
      </c>
      <c r="F97" s="120">
        <v>-17350</v>
      </c>
      <c r="G97" s="120">
        <v>-17350</v>
      </c>
      <c r="H97" s="120">
        <v>-12350</v>
      </c>
      <c r="I97" s="120">
        <v>-5250</v>
      </c>
      <c r="J97" s="503">
        <v>-49092.27</v>
      </c>
      <c r="K97" s="120">
        <v>-15121.37</v>
      </c>
      <c r="L97" s="90" t="s">
        <v>44</v>
      </c>
      <c r="M97" s="22"/>
    </row>
    <row r="98" spans="1:13" ht="15.75" customHeight="1">
      <c r="A98" s="2"/>
      <c r="B98" s="239"/>
      <c r="C98" s="54" t="s">
        <v>197</v>
      </c>
      <c r="D98" s="240">
        <f t="shared" ref="D98" si="5">SUM(D72:D97)</f>
        <v>59170.479999999981</v>
      </c>
      <c r="E98" s="240">
        <f t="shared" ref="E98:J98" si="6">SUM(E72:E97)</f>
        <v>59170.479999999981</v>
      </c>
      <c r="F98" s="240">
        <f t="shared" si="6"/>
        <v>51822.600000000006</v>
      </c>
      <c r="G98" s="41">
        <f t="shared" si="6"/>
        <v>61822.600000000006</v>
      </c>
      <c r="H98" s="41">
        <f t="shared" si="6"/>
        <v>48236</v>
      </c>
      <c r="I98" s="41">
        <f t="shared" si="6"/>
        <v>5696.8800000000047</v>
      </c>
      <c r="J98" s="519">
        <f t="shared" si="6"/>
        <v>27595.090000000018</v>
      </c>
      <c r="K98" s="41">
        <v>66851.49000000002</v>
      </c>
      <c r="L98" s="41">
        <v>74425.22</v>
      </c>
      <c r="M98" s="22"/>
    </row>
    <row r="99" spans="1:13" ht="15.75" customHeight="1">
      <c r="A99" s="2"/>
      <c r="B99" s="403" t="s">
        <v>89</v>
      </c>
      <c r="C99" s="404"/>
      <c r="D99" s="396"/>
      <c r="E99" s="396"/>
      <c r="F99" s="396"/>
      <c r="G99" s="397"/>
      <c r="H99" s="397"/>
      <c r="I99" s="397"/>
      <c r="J99" s="502"/>
      <c r="K99" s="70"/>
      <c r="L99" s="397"/>
      <c r="M99" s="22"/>
    </row>
    <row r="100" spans="1:13" ht="15.75" customHeight="1">
      <c r="A100" s="2"/>
      <c r="B100" s="274" t="s">
        <v>970</v>
      </c>
      <c r="C100" s="398"/>
      <c r="D100" s="398"/>
      <c r="E100" s="398"/>
      <c r="F100" s="398"/>
      <c r="G100" s="400"/>
      <c r="H100" s="400"/>
      <c r="I100" s="400"/>
      <c r="J100" s="502"/>
      <c r="K100" s="76"/>
      <c r="L100" s="365"/>
      <c r="M100" s="22"/>
    </row>
    <row r="101" spans="1:13" ht="15.75" customHeight="1">
      <c r="A101" s="2"/>
      <c r="B101" s="84" t="s">
        <v>360</v>
      </c>
      <c r="C101" s="84" t="s">
        <v>1040</v>
      </c>
      <c r="D101" s="76">
        <v>27250</v>
      </c>
      <c r="E101" s="76">
        <v>27250</v>
      </c>
      <c r="F101" s="76">
        <v>28250</v>
      </c>
      <c r="G101" s="76">
        <v>28250</v>
      </c>
      <c r="H101" s="76">
        <v>23750</v>
      </c>
      <c r="I101" s="76">
        <v>30930</v>
      </c>
      <c r="J101" s="502">
        <v>7581.81</v>
      </c>
      <c r="K101" s="76">
        <f>3560.3+6936.61+160.24</f>
        <v>10657.15</v>
      </c>
      <c r="L101" s="408">
        <f>25438.28+9998</f>
        <v>35436.28</v>
      </c>
      <c r="M101" s="22"/>
    </row>
    <row r="102" spans="1:13" ht="15.75" customHeight="1">
      <c r="A102" s="2"/>
      <c r="B102" s="84" t="s">
        <v>1041</v>
      </c>
      <c r="C102" s="84" t="s">
        <v>1042</v>
      </c>
      <c r="D102" s="245">
        <v>25000</v>
      </c>
      <c r="E102" s="245">
        <v>25000</v>
      </c>
      <c r="F102" s="76">
        <v>26000</v>
      </c>
      <c r="G102" s="76">
        <v>26000</v>
      </c>
      <c r="H102" s="76">
        <v>24500</v>
      </c>
      <c r="I102" s="76">
        <v>17897</v>
      </c>
      <c r="J102" s="502">
        <v>4658.01</v>
      </c>
      <c r="K102" s="76">
        <v>0</v>
      </c>
      <c r="L102" s="329">
        <v>18639.900000000001</v>
      </c>
      <c r="M102" s="22"/>
    </row>
    <row r="103" spans="1:13" ht="15.75" customHeight="1">
      <c r="A103" s="2"/>
      <c r="B103" s="84" t="s">
        <v>582</v>
      </c>
      <c r="C103" s="84" t="s">
        <v>1043</v>
      </c>
      <c r="D103" s="250">
        <v>170000</v>
      </c>
      <c r="E103" s="250">
        <v>170000</v>
      </c>
      <c r="F103" s="76">
        <v>140000</v>
      </c>
      <c r="G103" s="76">
        <v>140000</v>
      </c>
      <c r="H103" s="76">
        <v>123700</v>
      </c>
      <c r="I103" s="76">
        <v>106100</v>
      </c>
      <c r="J103" s="502">
        <v>214041.09</v>
      </c>
      <c r="K103" s="76">
        <v>145681.16</v>
      </c>
      <c r="L103" s="408">
        <v>101158.58</v>
      </c>
      <c r="M103" s="22"/>
    </row>
    <row r="104" spans="1:13" ht="15.75" customHeight="1">
      <c r="A104" s="2"/>
      <c r="B104" s="84" t="s">
        <v>422</v>
      </c>
      <c r="C104" s="84" t="s">
        <v>1044</v>
      </c>
      <c r="D104" s="250">
        <v>28950</v>
      </c>
      <c r="E104" s="250">
        <v>28950</v>
      </c>
      <c r="F104" s="76">
        <v>29450</v>
      </c>
      <c r="G104" s="76">
        <v>29450</v>
      </c>
      <c r="H104" s="76">
        <v>25950</v>
      </c>
      <c r="I104" s="76">
        <v>125</v>
      </c>
      <c r="J104" s="502">
        <v>26600.26</v>
      </c>
      <c r="K104" s="76">
        <v>1328.45</v>
      </c>
      <c r="L104" s="408">
        <v>154.9</v>
      </c>
      <c r="M104" s="22"/>
    </row>
    <row r="105" spans="1:13" ht="15.75" customHeight="1">
      <c r="A105" s="2"/>
      <c r="B105" s="84" t="s">
        <v>368</v>
      </c>
      <c r="C105" s="84" t="s">
        <v>1045</v>
      </c>
      <c r="D105" s="250">
        <v>7000</v>
      </c>
      <c r="E105" s="250">
        <v>7000</v>
      </c>
      <c r="F105" s="76">
        <v>7000</v>
      </c>
      <c r="G105" s="76">
        <v>7000</v>
      </c>
      <c r="H105" s="76">
        <v>5450</v>
      </c>
      <c r="I105" s="76">
        <v>4160</v>
      </c>
      <c r="J105" s="502">
        <v>2113.5500000000002</v>
      </c>
      <c r="K105" s="76">
        <v>2500</v>
      </c>
      <c r="L105" s="408">
        <v>2421.4299999999998</v>
      </c>
      <c r="M105" s="22"/>
    </row>
    <row r="106" spans="1:13" ht="15.75" customHeight="1">
      <c r="A106" s="2"/>
      <c r="B106" s="84" t="s">
        <v>826</v>
      </c>
      <c r="C106" s="84" t="s">
        <v>1046</v>
      </c>
      <c r="D106" s="250">
        <v>2000</v>
      </c>
      <c r="E106" s="250">
        <v>2000</v>
      </c>
      <c r="F106" s="76">
        <v>3500</v>
      </c>
      <c r="G106" s="76">
        <v>3500</v>
      </c>
      <c r="H106" s="76">
        <v>3000</v>
      </c>
      <c r="I106" s="76">
        <v>750</v>
      </c>
      <c r="J106" s="502"/>
      <c r="K106" s="76">
        <v>2400</v>
      </c>
      <c r="L106" s="408"/>
      <c r="M106" s="22"/>
    </row>
    <row r="107" spans="1:13" ht="15.75" customHeight="1">
      <c r="A107" s="45"/>
      <c r="B107" s="84" t="s">
        <v>1047</v>
      </c>
      <c r="C107" s="84" t="s">
        <v>1048</v>
      </c>
      <c r="D107" s="250">
        <v>16000</v>
      </c>
      <c r="E107" s="250">
        <v>16000</v>
      </c>
      <c r="F107" s="76">
        <v>13000</v>
      </c>
      <c r="G107" s="76">
        <v>13000</v>
      </c>
      <c r="H107" s="76">
        <v>12000</v>
      </c>
      <c r="I107" s="76">
        <v>2362</v>
      </c>
      <c r="J107" s="502"/>
      <c r="K107" s="76">
        <v>0</v>
      </c>
      <c r="L107" s="408">
        <v>2330.15</v>
      </c>
      <c r="M107" s="22"/>
    </row>
    <row r="108" spans="1:13" ht="15.75" customHeight="1">
      <c r="A108" s="409" t="s">
        <v>1049</v>
      </c>
      <c r="B108" s="84" t="s">
        <v>977</v>
      </c>
      <c r="C108" s="84" t="s">
        <v>1050</v>
      </c>
      <c r="D108" s="250">
        <v>58300</v>
      </c>
      <c r="E108" s="250">
        <v>58300</v>
      </c>
      <c r="F108" s="76">
        <v>55800</v>
      </c>
      <c r="G108" s="76">
        <v>55800</v>
      </c>
      <c r="H108" s="76">
        <v>48500</v>
      </c>
      <c r="I108" s="76">
        <v>78750</v>
      </c>
      <c r="J108" s="502"/>
      <c r="K108" s="76">
        <v>0</v>
      </c>
      <c r="L108" s="408">
        <f>116695.73+5651.47</f>
        <v>122347.2</v>
      </c>
      <c r="M108" s="22"/>
    </row>
    <row r="109" spans="1:13" ht="15.75" customHeight="1">
      <c r="A109" s="123"/>
      <c r="B109" s="84" t="s">
        <v>1051</v>
      </c>
      <c r="C109" s="84" t="s">
        <v>1052</v>
      </c>
      <c r="D109" s="250">
        <v>40500</v>
      </c>
      <c r="E109" s="250">
        <v>40500</v>
      </c>
      <c r="F109" s="76">
        <v>42000</v>
      </c>
      <c r="G109" s="76">
        <v>42000</v>
      </c>
      <c r="H109" s="76">
        <v>45000</v>
      </c>
      <c r="I109" s="84" t="s">
        <v>44</v>
      </c>
      <c r="J109" s="502">
        <v>21700</v>
      </c>
      <c r="K109" s="76">
        <v>49693.48</v>
      </c>
      <c r="L109" s="408">
        <v>20000</v>
      </c>
      <c r="M109" s="22"/>
    </row>
    <row r="110" spans="1:13" ht="15.75" customHeight="1">
      <c r="A110" s="2"/>
      <c r="B110" s="84" t="s">
        <v>98</v>
      </c>
      <c r="C110" s="84" t="s">
        <v>1053</v>
      </c>
      <c r="D110" s="250"/>
      <c r="E110" s="250"/>
      <c r="F110" s="76">
        <v>0</v>
      </c>
      <c r="G110" s="76">
        <v>0</v>
      </c>
      <c r="H110" s="76">
        <v>0</v>
      </c>
      <c r="I110" s="76">
        <v>2500</v>
      </c>
      <c r="J110" s="502"/>
      <c r="K110" s="76">
        <v>0</v>
      </c>
      <c r="L110" s="408"/>
      <c r="M110" s="22"/>
    </row>
    <row r="111" spans="1:13" ht="15.75" customHeight="1">
      <c r="A111" s="2"/>
      <c r="B111" s="84" t="s">
        <v>1054</v>
      </c>
      <c r="C111" s="84" t="s">
        <v>1055</v>
      </c>
      <c r="D111" s="250"/>
      <c r="E111" s="250"/>
      <c r="F111" s="76">
        <v>0</v>
      </c>
      <c r="G111" s="76">
        <v>0</v>
      </c>
      <c r="H111" s="76">
        <v>0</v>
      </c>
      <c r="I111" s="76">
        <v>2500</v>
      </c>
      <c r="J111" s="502"/>
      <c r="K111" s="76">
        <v>0</v>
      </c>
      <c r="L111" s="408"/>
      <c r="M111" s="22"/>
    </row>
    <row r="112" spans="1:13" ht="15.75" customHeight="1">
      <c r="A112" s="2"/>
      <c r="B112" s="252" t="s">
        <v>999</v>
      </c>
      <c r="C112" s="254"/>
      <c r="D112" s="365"/>
      <c r="E112" s="365"/>
      <c r="F112" s="134"/>
      <c r="G112" s="134"/>
      <c r="H112" s="134"/>
      <c r="I112" s="134"/>
      <c r="J112" s="502"/>
      <c r="K112" s="76"/>
      <c r="L112" s="365"/>
      <c r="M112" s="22"/>
    </row>
    <row r="113" spans="1:13" ht="15.75" customHeight="1">
      <c r="A113" s="2"/>
      <c r="B113" s="84" t="s">
        <v>1000</v>
      </c>
      <c r="C113" s="84" t="s">
        <v>1056</v>
      </c>
      <c r="D113" s="250">
        <v>-232500</v>
      </c>
      <c r="E113" s="250">
        <v>-232500</v>
      </c>
      <c r="F113" s="76">
        <v>-233750</v>
      </c>
      <c r="G113" s="76">
        <v>-233750</v>
      </c>
      <c r="H113" s="76">
        <v>-207629</v>
      </c>
      <c r="I113" s="76">
        <v>-171190</v>
      </c>
      <c r="J113" s="502">
        <v>-238020</v>
      </c>
      <c r="K113" s="76">
        <v>-173188.38</v>
      </c>
      <c r="L113" s="250">
        <v>-211037.82</v>
      </c>
      <c r="M113" s="22"/>
    </row>
    <row r="114" spans="1:13" ht="15.75" customHeight="1">
      <c r="A114" s="2"/>
      <c r="B114" s="84" t="s">
        <v>743</v>
      </c>
      <c r="C114" s="84" t="s">
        <v>1057</v>
      </c>
      <c r="D114" s="329">
        <v>-5000</v>
      </c>
      <c r="E114" s="329">
        <v>-5000</v>
      </c>
      <c r="F114" s="238">
        <v>0</v>
      </c>
      <c r="G114" s="238">
        <v>0</v>
      </c>
      <c r="H114" s="84" t="s">
        <v>44</v>
      </c>
      <c r="I114" s="84" t="s">
        <v>44</v>
      </c>
      <c r="J114" s="502"/>
      <c r="K114" s="76">
        <v>-242.8</v>
      </c>
      <c r="L114" s="329">
        <v>0</v>
      </c>
      <c r="M114" s="22"/>
    </row>
    <row r="115" spans="1:13" ht="15.75" customHeight="1">
      <c r="A115" s="2"/>
      <c r="B115" s="84" t="s">
        <v>1003</v>
      </c>
      <c r="C115" s="304"/>
      <c r="D115" s="329"/>
      <c r="E115" s="329"/>
      <c r="F115" s="238">
        <v>-1750</v>
      </c>
      <c r="G115" s="238">
        <v>-1750</v>
      </c>
      <c r="H115" s="238"/>
      <c r="I115" s="238"/>
      <c r="J115" s="502"/>
      <c r="K115" s="76"/>
      <c r="L115" s="329"/>
      <c r="M115" s="22"/>
    </row>
    <row r="116" spans="1:13" ht="15.75" customHeight="1">
      <c r="A116" s="2"/>
      <c r="B116" s="84" t="s">
        <v>1004</v>
      </c>
      <c r="C116" s="84" t="s">
        <v>1058</v>
      </c>
      <c r="D116" s="250">
        <v>-42500</v>
      </c>
      <c r="E116" s="250">
        <v>-42500</v>
      </c>
      <c r="F116" s="76">
        <v>-46000</v>
      </c>
      <c r="G116" s="76">
        <v>-46000</v>
      </c>
      <c r="H116" s="76">
        <v>-49450</v>
      </c>
      <c r="I116" s="76">
        <v>-39375</v>
      </c>
      <c r="J116" s="502">
        <v>-29530.51</v>
      </c>
      <c r="K116" s="76">
        <v>-38748.94</v>
      </c>
      <c r="L116" s="408">
        <v>-46060.62</v>
      </c>
      <c r="M116" s="22"/>
    </row>
    <row r="117" spans="1:13" ht="15.75" customHeight="1">
      <c r="A117" s="2"/>
      <c r="B117" s="90" t="s">
        <v>435</v>
      </c>
      <c r="C117" s="90" t="s">
        <v>1059</v>
      </c>
      <c r="D117" s="350">
        <v>-35000</v>
      </c>
      <c r="E117" s="350">
        <v>-35000</v>
      </c>
      <c r="F117" s="120">
        <v>-27750</v>
      </c>
      <c r="G117" s="120">
        <v>-27750</v>
      </c>
      <c r="H117" s="120">
        <v>-30000</v>
      </c>
      <c r="I117" s="120">
        <v>-15000</v>
      </c>
      <c r="J117" s="503"/>
      <c r="K117" s="120">
        <v>0</v>
      </c>
      <c r="L117" s="410">
        <v>-2000</v>
      </c>
      <c r="M117" s="22"/>
    </row>
    <row r="118" spans="1:13" ht="15.75" customHeight="1">
      <c r="A118" s="268">
        <v>25000</v>
      </c>
      <c r="B118" s="239"/>
      <c r="C118" s="54" t="s">
        <v>197</v>
      </c>
      <c r="D118" s="240">
        <f t="shared" ref="D118" si="7">SUM(D101:D117)</f>
        <v>60000</v>
      </c>
      <c r="E118" s="240">
        <f t="shared" ref="E118:L118" si="8">SUM(E101:E117)</f>
        <v>60000</v>
      </c>
      <c r="F118" s="240">
        <f t="shared" si="8"/>
        <v>35750</v>
      </c>
      <c r="G118" s="41">
        <f t="shared" si="8"/>
        <v>35750</v>
      </c>
      <c r="H118" s="41">
        <f t="shared" si="8"/>
        <v>24771</v>
      </c>
      <c r="I118" s="41">
        <f t="shared" si="8"/>
        <v>20509</v>
      </c>
      <c r="J118" s="512">
        <f t="shared" si="8"/>
        <v>9144.2099999999737</v>
      </c>
      <c r="K118" s="41">
        <f t="shared" si="8"/>
        <v>80.120000000009895</v>
      </c>
      <c r="L118" s="337">
        <f t="shared" si="8"/>
        <v>43389.999999999993</v>
      </c>
      <c r="M118" s="22"/>
    </row>
    <row r="119" spans="1:13" ht="15.75" customHeight="1">
      <c r="A119" s="2"/>
      <c r="B119" s="236"/>
      <c r="C119" s="236"/>
      <c r="D119" s="236"/>
      <c r="E119" s="236"/>
      <c r="F119" s="236"/>
      <c r="G119" s="11"/>
      <c r="H119" s="11"/>
      <c r="I119" s="11"/>
      <c r="J119" s="535"/>
      <c r="K119" s="70"/>
      <c r="L119" s="11"/>
      <c r="M119" s="22"/>
    </row>
    <row r="120" spans="1:13" ht="15.75" customHeight="1">
      <c r="A120" s="2"/>
      <c r="B120" s="7"/>
      <c r="C120" s="252" t="s">
        <v>1060</v>
      </c>
      <c r="D120" s="294">
        <f t="shared" ref="D120" si="9">D44</f>
        <v>306070.28000000003</v>
      </c>
      <c r="E120" s="294">
        <f t="shared" ref="E120:J120" si="10">E44</f>
        <v>306070.28000000003</v>
      </c>
      <c r="F120" s="294">
        <f t="shared" si="10"/>
        <v>286623.88</v>
      </c>
      <c r="G120" s="21">
        <f t="shared" si="10"/>
        <v>286623.88</v>
      </c>
      <c r="H120" s="21">
        <f t="shared" si="10"/>
        <v>200571.40000000002</v>
      </c>
      <c r="I120" s="21">
        <f t="shared" si="10"/>
        <v>147947</v>
      </c>
      <c r="J120" s="527">
        <f t="shared" si="10"/>
        <v>285572.86000000004</v>
      </c>
      <c r="K120" s="21">
        <v>257057.8899999999</v>
      </c>
      <c r="L120" s="386">
        <f>L44</f>
        <v>124552.54999999997</v>
      </c>
      <c r="M120" s="22"/>
    </row>
    <row r="121" spans="1:13" ht="15.75" customHeight="1">
      <c r="A121" s="2"/>
      <c r="B121" s="7"/>
      <c r="C121" s="252" t="s">
        <v>1061</v>
      </c>
      <c r="D121" s="294">
        <f t="shared" ref="D121" si="11">D69</f>
        <v>237000</v>
      </c>
      <c r="E121" s="294">
        <f t="shared" ref="E121:J121" si="12">E69</f>
        <v>48000</v>
      </c>
      <c r="F121" s="294">
        <f t="shared" si="12"/>
        <v>35000</v>
      </c>
      <c r="G121" s="21">
        <f t="shared" si="12"/>
        <v>35000</v>
      </c>
      <c r="H121" s="21">
        <f t="shared" si="12"/>
        <v>48965</v>
      </c>
      <c r="I121" s="21">
        <f t="shared" si="12"/>
        <v>63415</v>
      </c>
      <c r="J121" s="527">
        <f t="shared" si="12"/>
        <v>17020.750000000022</v>
      </c>
      <c r="K121" s="21">
        <v>-46867.95</v>
      </c>
      <c r="L121" s="386">
        <f>L69</f>
        <v>-119393.36999999998</v>
      </c>
      <c r="M121" s="22"/>
    </row>
    <row r="122" spans="1:13" ht="15.75" customHeight="1">
      <c r="A122" s="2"/>
      <c r="B122" s="7"/>
      <c r="C122" s="252" t="s">
        <v>1062</v>
      </c>
      <c r="D122" s="294">
        <f t="shared" ref="D122" si="13">D98</f>
        <v>59170.479999999981</v>
      </c>
      <c r="E122" s="294">
        <f t="shared" ref="E122:J122" si="14">E98</f>
        <v>59170.479999999981</v>
      </c>
      <c r="F122" s="294">
        <f t="shared" si="14"/>
        <v>51822.600000000006</v>
      </c>
      <c r="G122" s="21">
        <f t="shared" si="14"/>
        <v>61822.600000000006</v>
      </c>
      <c r="H122" s="21">
        <f t="shared" si="14"/>
        <v>48236</v>
      </c>
      <c r="I122" s="21">
        <f t="shared" si="14"/>
        <v>5696.8800000000047</v>
      </c>
      <c r="J122" s="527">
        <f t="shared" si="14"/>
        <v>27595.090000000018</v>
      </c>
      <c r="K122" s="21">
        <v>66851.49000000002</v>
      </c>
      <c r="L122" s="386">
        <f>L98</f>
        <v>74425.22</v>
      </c>
      <c r="M122" s="22"/>
    </row>
    <row r="123" spans="1:13" ht="15.75" customHeight="1">
      <c r="A123" s="2"/>
      <c r="B123" s="287"/>
      <c r="C123" s="295" t="s">
        <v>1063</v>
      </c>
      <c r="D123" s="296">
        <f t="shared" ref="D123" si="15">D118</f>
        <v>60000</v>
      </c>
      <c r="E123" s="296">
        <f t="shared" ref="E123:J123" si="16">E118</f>
        <v>60000</v>
      </c>
      <c r="F123" s="296">
        <f t="shared" si="16"/>
        <v>35750</v>
      </c>
      <c r="G123" s="30">
        <f t="shared" si="16"/>
        <v>35750</v>
      </c>
      <c r="H123" s="30">
        <f t="shared" si="16"/>
        <v>24771</v>
      </c>
      <c r="I123" s="30">
        <f t="shared" si="16"/>
        <v>20509</v>
      </c>
      <c r="J123" s="536">
        <f t="shared" si="16"/>
        <v>9144.2099999999737</v>
      </c>
      <c r="K123" s="30">
        <v>-7016.7299999999923</v>
      </c>
      <c r="L123" s="411">
        <f>L118</f>
        <v>43389.999999999993</v>
      </c>
      <c r="M123" s="22"/>
    </row>
    <row r="124" spans="1:13" ht="15.75" customHeight="1">
      <c r="A124" s="2"/>
      <c r="B124" s="239"/>
      <c r="C124" s="54" t="s">
        <v>1064</v>
      </c>
      <c r="D124" s="240">
        <f t="shared" ref="D124" si="17">SUM(D120:D123)</f>
        <v>662240.76</v>
      </c>
      <c r="E124" s="240">
        <f t="shared" ref="E124:J124" si="18">SUM(E120:E123)</f>
        <v>473240.76</v>
      </c>
      <c r="F124" s="240">
        <f t="shared" si="18"/>
        <v>409196.48</v>
      </c>
      <c r="G124" s="41">
        <f t="shared" si="18"/>
        <v>419196.48</v>
      </c>
      <c r="H124" s="41">
        <f t="shared" si="18"/>
        <v>322543.40000000002</v>
      </c>
      <c r="I124" s="41">
        <f t="shared" si="18"/>
        <v>237567.88</v>
      </c>
      <c r="J124" s="512">
        <f t="shared" si="18"/>
        <v>339332.91000000003</v>
      </c>
      <c r="K124" s="41">
        <v>270024.7</v>
      </c>
      <c r="L124" s="337">
        <f>SUM(L120:L123)</f>
        <v>122974.39999999999</v>
      </c>
      <c r="M124" s="22"/>
    </row>
    <row r="125" spans="1:13" ht="15.75" customHeight="1">
      <c r="A125" s="19"/>
      <c r="B125" s="3"/>
      <c r="C125" s="3"/>
      <c r="D125" s="435"/>
      <c r="E125" s="3"/>
      <c r="F125" s="3"/>
      <c r="G125" s="3"/>
      <c r="H125" s="3"/>
      <c r="I125" s="3"/>
      <c r="J125" s="530"/>
      <c r="K125" s="3"/>
      <c r="L125" s="3"/>
      <c r="M125" s="19"/>
    </row>
    <row r="126" spans="1:13" ht="15.75" customHeight="1">
      <c r="A126" s="19"/>
      <c r="B126" s="19"/>
      <c r="C126" s="19"/>
      <c r="D126" s="437"/>
      <c r="E126" s="19"/>
      <c r="F126" s="19"/>
      <c r="G126" s="19"/>
      <c r="H126" s="19"/>
      <c r="I126" s="19"/>
      <c r="J126" s="537"/>
      <c r="K126" s="19"/>
      <c r="L126" s="19"/>
      <c r="M126" s="19"/>
    </row>
    <row r="127" spans="1:13" ht="15.75" customHeight="1">
      <c r="A127" s="19"/>
      <c r="B127" s="19"/>
      <c r="C127" s="19"/>
      <c r="D127" s="437"/>
      <c r="E127" s="19"/>
      <c r="F127" s="19"/>
      <c r="G127" s="19"/>
      <c r="H127" s="19"/>
      <c r="I127" s="19"/>
      <c r="J127" s="537"/>
      <c r="K127" s="19"/>
      <c r="L127" s="19"/>
      <c r="M127" s="19"/>
    </row>
    <row r="128" spans="1:13" ht="15.75" customHeight="1">
      <c r="A128" s="19"/>
      <c r="B128" s="19"/>
      <c r="C128" s="19"/>
      <c r="D128" s="437"/>
      <c r="E128" s="19"/>
      <c r="F128" s="19"/>
      <c r="G128" s="19"/>
      <c r="H128" s="412"/>
      <c r="I128" s="19"/>
      <c r="J128" s="537"/>
      <c r="K128" s="19"/>
      <c r="L128" s="19"/>
      <c r="M128" s="19"/>
    </row>
    <row r="129" spans="1:13" ht="15.75" customHeight="1">
      <c r="A129" s="19"/>
      <c r="B129" s="19"/>
      <c r="C129" s="19"/>
      <c r="D129" s="437"/>
      <c r="E129" s="19"/>
      <c r="F129" s="19"/>
      <c r="G129" s="19"/>
      <c r="H129" s="412"/>
      <c r="I129" s="19"/>
      <c r="J129" s="537"/>
      <c r="K129" s="19"/>
      <c r="L129" s="19"/>
      <c r="M129" s="19"/>
    </row>
  </sheetData>
  <mergeCells count="1">
    <mergeCell ref="B1:L1"/>
  </mergeCells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86"/>
  <sheetViews>
    <sheetView showGridLines="0" topLeftCell="B1" workbookViewId="0">
      <selection activeCell="J2" sqref="J1:J1048576"/>
    </sheetView>
  </sheetViews>
  <sheetFormatPr defaultColWidth="14.42578125" defaultRowHeight="15" customHeight="1"/>
  <cols>
    <col min="1" max="1" width="14.42578125" style="413" hidden="1" customWidth="1"/>
    <col min="2" max="2" width="24.85546875" style="413" customWidth="1"/>
    <col min="3" max="3" width="16.42578125" style="413" customWidth="1"/>
    <col min="4" max="4" width="18.7109375" style="433" customWidth="1"/>
    <col min="5" max="5" width="16" style="413" customWidth="1"/>
    <col min="6" max="6" width="15.28515625" style="413" customWidth="1"/>
    <col min="7" max="7" width="14.7109375" style="413" customWidth="1"/>
    <col min="8" max="9" width="17.42578125" style="413" customWidth="1"/>
    <col min="10" max="10" width="15.42578125" style="514" customWidth="1"/>
    <col min="11" max="11" width="18.28515625" style="413" customWidth="1"/>
    <col min="12" max="13" width="17.7109375" style="413" customWidth="1"/>
    <col min="14" max="257" width="14.42578125" style="413" customWidth="1"/>
  </cols>
  <sheetData>
    <row r="1" spans="1:14" ht="15.75" customHeight="1">
      <c r="A1" s="2"/>
      <c r="B1" s="462" t="s">
        <v>1066</v>
      </c>
      <c r="C1" s="457"/>
      <c r="D1" s="496"/>
      <c r="E1" s="465"/>
      <c r="F1" s="465"/>
      <c r="G1" s="458"/>
      <c r="H1" s="465"/>
      <c r="I1" s="458"/>
      <c r="J1" s="458"/>
      <c r="K1" s="458"/>
      <c r="L1" s="458"/>
      <c r="M1" s="466"/>
      <c r="N1" s="22"/>
    </row>
    <row r="2" spans="1:14" ht="15.75" customHeight="1">
      <c r="A2" s="2"/>
      <c r="B2" s="162" t="s">
        <v>156</v>
      </c>
      <c r="C2" s="295" t="s">
        <v>157</v>
      </c>
      <c r="D2" s="162" t="s">
        <v>1170</v>
      </c>
      <c r="E2" s="231" t="s">
        <v>1171</v>
      </c>
      <c r="F2" s="232" t="s">
        <v>158</v>
      </c>
      <c r="G2" s="322" t="s">
        <v>159</v>
      </c>
      <c r="H2" s="414" t="s">
        <v>161</v>
      </c>
      <c r="I2" s="295" t="s">
        <v>162</v>
      </c>
      <c r="J2" s="515" t="s">
        <v>637</v>
      </c>
      <c r="K2" s="322" t="s">
        <v>638</v>
      </c>
      <c r="L2" s="295" t="s">
        <v>165</v>
      </c>
      <c r="M2" s="295" t="s">
        <v>165</v>
      </c>
      <c r="N2" s="22"/>
    </row>
    <row r="3" spans="1:14" ht="15.75" customHeight="1">
      <c r="A3" s="45"/>
      <c r="B3" s="171" t="s">
        <v>1067</v>
      </c>
      <c r="C3" s="236"/>
      <c r="D3" s="236"/>
      <c r="E3" s="236"/>
      <c r="F3" s="236"/>
      <c r="G3" s="11"/>
      <c r="H3" s="11"/>
      <c r="I3" s="11"/>
      <c r="J3" s="535"/>
      <c r="K3" s="70"/>
      <c r="L3" s="11"/>
      <c r="M3" s="11"/>
      <c r="N3" s="22"/>
    </row>
    <row r="4" spans="1:14" ht="15.75" customHeight="1">
      <c r="A4" s="122" t="s">
        <v>1068</v>
      </c>
      <c r="B4" s="84" t="s">
        <v>1069</v>
      </c>
      <c r="C4" s="84" t="s">
        <v>1070</v>
      </c>
      <c r="D4" s="76">
        <v>184110</v>
      </c>
      <c r="E4" s="76">
        <v>184110</v>
      </c>
      <c r="F4" s="76">
        <v>165500</v>
      </c>
      <c r="G4" s="76">
        <v>180500</v>
      </c>
      <c r="H4" s="76">
        <v>107000</v>
      </c>
      <c r="I4" s="76">
        <v>66612</v>
      </c>
      <c r="J4" s="502">
        <v>65214.21</v>
      </c>
      <c r="K4" s="76">
        <v>56988.29</v>
      </c>
      <c r="L4" s="76">
        <v>56988.29</v>
      </c>
      <c r="M4" s="76">
        <v>56988.29</v>
      </c>
      <c r="N4" s="415"/>
    </row>
    <row r="5" spans="1:14" ht="15.75" customHeight="1">
      <c r="A5" s="123"/>
      <c r="B5" s="84" t="s">
        <v>1071</v>
      </c>
      <c r="C5" s="84" t="s">
        <v>1072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8000</v>
      </c>
      <c r="J5" s="502">
        <v>14994</v>
      </c>
      <c r="K5" s="76">
        <v>6096.26</v>
      </c>
      <c r="L5" s="76">
        <v>4815.26</v>
      </c>
      <c r="M5" s="76">
        <v>1980.26</v>
      </c>
      <c r="N5" s="416"/>
    </row>
    <row r="6" spans="1:14" ht="15.75" customHeight="1">
      <c r="A6" s="2"/>
      <c r="B6" s="84" t="s">
        <v>200</v>
      </c>
      <c r="C6" s="84" t="s">
        <v>1073</v>
      </c>
      <c r="D6" s="76">
        <v>40224</v>
      </c>
      <c r="E6" s="76">
        <v>40224</v>
      </c>
      <c r="F6" s="76">
        <v>39448</v>
      </c>
      <c r="G6" s="76">
        <v>39448</v>
      </c>
      <c r="H6" s="76">
        <v>25000</v>
      </c>
      <c r="I6" s="76">
        <v>14985</v>
      </c>
      <c r="J6" s="502">
        <v>20495.099999999999</v>
      </c>
      <c r="K6" s="76">
        <v>13124.97</v>
      </c>
      <c r="L6" s="76">
        <f>12422.67+689.7</f>
        <v>13112.37</v>
      </c>
      <c r="M6" s="76">
        <v>12071.41</v>
      </c>
      <c r="N6" s="415"/>
    </row>
    <row r="7" spans="1:14" ht="15.75" customHeight="1">
      <c r="A7" s="2"/>
      <c r="B7" s="84" t="s">
        <v>204</v>
      </c>
      <c r="C7" s="84" t="s">
        <v>1074</v>
      </c>
      <c r="D7" s="76">
        <v>540</v>
      </c>
      <c r="E7" s="76">
        <v>540</v>
      </c>
      <c r="F7" s="76">
        <v>1800</v>
      </c>
      <c r="G7" s="76">
        <v>1800</v>
      </c>
      <c r="H7" s="76">
        <v>480</v>
      </c>
      <c r="I7" s="76">
        <v>480</v>
      </c>
      <c r="J7" s="502"/>
      <c r="K7" s="76">
        <v>795.05</v>
      </c>
      <c r="L7" s="76">
        <v>667.05</v>
      </c>
      <c r="M7" s="76">
        <v>667.05</v>
      </c>
      <c r="N7" s="415"/>
    </row>
    <row r="8" spans="1:14" ht="15.75" customHeight="1">
      <c r="A8" s="2"/>
      <c r="B8" s="84" t="s">
        <v>206</v>
      </c>
      <c r="C8" s="84" t="s">
        <v>1075</v>
      </c>
      <c r="D8" s="76"/>
      <c r="E8" s="76"/>
      <c r="F8" s="76">
        <v>385</v>
      </c>
      <c r="G8" s="76">
        <v>385</v>
      </c>
      <c r="H8" s="76">
        <v>200</v>
      </c>
      <c r="I8" s="76">
        <v>450</v>
      </c>
      <c r="J8" s="502">
        <v>253.26</v>
      </c>
      <c r="K8" s="76">
        <v>285.95</v>
      </c>
      <c r="L8" s="76">
        <v>284.61</v>
      </c>
      <c r="M8" s="76">
        <v>284.61</v>
      </c>
      <c r="N8" s="416"/>
    </row>
    <row r="9" spans="1:14" ht="15.75" customHeight="1">
      <c r="A9" s="2"/>
      <c r="B9" s="84" t="s">
        <v>208</v>
      </c>
      <c r="C9" s="84" t="s">
        <v>1076</v>
      </c>
      <c r="D9" s="76">
        <v>0</v>
      </c>
      <c r="E9" s="76">
        <v>0</v>
      </c>
      <c r="F9" s="76">
        <v>0</v>
      </c>
      <c r="G9" s="76">
        <v>0</v>
      </c>
      <c r="H9" s="76">
        <v>25</v>
      </c>
      <c r="I9" s="76">
        <v>25</v>
      </c>
      <c r="J9" s="502">
        <v>21.76</v>
      </c>
      <c r="K9" s="76">
        <v>0</v>
      </c>
      <c r="L9" s="76">
        <v>0</v>
      </c>
      <c r="M9" s="84" t="s">
        <v>44</v>
      </c>
      <c r="N9" s="22"/>
    </row>
    <row r="10" spans="1:14" ht="15.75" customHeight="1">
      <c r="A10" s="2"/>
      <c r="B10" s="84" t="s">
        <v>167</v>
      </c>
      <c r="C10" s="84" t="s">
        <v>1077</v>
      </c>
      <c r="D10" s="76">
        <v>0</v>
      </c>
      <c r="E10" s="76">
        <v>0</v>
      </c>
      <c r="F10" s="76">
        <v>600</v>
      </c>
      <c r="G10" s="76">
        <v>600</v>
      </c>
      <c r="H10" s="76">
        <v>100</v>
      </c>
      <c r="I10" s="76">
        <v>100</v>
      </c>
      <c r="J10" s="502">
        <v>11589.26</v>
      </c>
      <c r="K10" s="76">
        <v>524.24</v>
      </c>
      <c r="L10" s="76">
        <v>524.24</v>
      </c>
      <c r="M10" s="76">
        <v>524.24</v>
      </c>
      <c r="N10" s="22"/>
    </row>
    <row r="11" spans="1:14" ht="15.75" customHeight="1">
      <c r="A11" s="2"/>
      <c r="B11" s="84" t="s">
        <v>1078</v>
      </c>
      <c r="C11" s="84" t="s">
        <v>1079</v>
      </c>
      <c r="D11" s="76">
        <v>600</v>
      </c>
      <c r="E11" s="76">
        <v>600</v>
      </c>
      <c r="F11" s="76">
        <v>0</v>
      </c>
      <c r="G11" s="76">
        <v>0</v>
      </c>
      <c r="H11" s="76">
        <v>1000</v>
      </c>
      <c r="I11" s="76">
        <v>8100</v>
      </c>
      <c r="J11" s="502">
        <v>8110.15</v>
      </c>
      <c r="K11" s="76">
        <v>0</v>
      </c>
      <c r="L11" s="76">
        <v>0</v>
      </c>
      <c r="M11" s="84" t="s">
        <v>44</v>
      </c>
      <c r="N11" s="415"/>
    </row>
    <row r="12" spans="1:14" ht="15.75" customHeight="1">
      <c r="A12" s="2"/>
      <c r="B12" s="84" t="s">
        <v>212</v>
      </c>
      <c r="C12" s="84" t="s">
        <v>1080</v>
      </c>
      <c r="D12" s="238">
        <v>0</v>
      </c>
      <c r="E12" s="238">
        <v>0</v>
      </c>
      <c r="F12" s="238">
        <v>0</v>
      </c>
      <c r="G12" s="238">
        <v>0</v>
      </c>
      <c r="H12" s="76">
        <v>0</v>
      </c>
      <c r="I12" s="76">
        <v>1400</v>
      </c>
      <c r="J12" s="502"/>
      <c r="K12" s="76">
        <v>-148.8299999999999</v>
      </c>
      <c r="L12" s="76">
        <v>0</v>
      </c>
      <c r="M12" s="76">
        <v>689.7</v>
      </c>
      <c r="N12" s="416"/>
    </row>
    <row r="13" spans="1:14" ht="15.75" customHeight="1">
      <c r="A13" s="2"/>
      <c r="B13" s="84" t="s">
        <v>1081</v>
      </c>
      <c r="C13" s="84" t="s">
        <v>1082</v>
      </c>
      <c r="D13" s="76">
        <v>15000</v>
      </c>
      <c r="E13" s="76">
        <v>15000</v>
      </c>
      <c r="F13" s="76"/>
      <c r="G13" s="76"/>
      <c r="H13" s="76"/>
      <c r="I13" s="76"/>
      <c r="J13" s="502">
        <v>10267.26</v>
      </c>
      <c r="K13" s="76"/>
      <c r="L13" s="76"/>
      <c r="M13" s="76"/>
      <c r="N13" s="22"/>
    </row>
    <row r="14" spans="1:14" ht="15.75" customHeight="1">
      <c r="A14" s="2"/>
      <c r="B14" s="84" t="s">
        <v>1083</v>
      </c>
      <c r="C14" s="84" t="s">
        <v>1084</v>
      </c>
      <c r="D14" s="76">
        <v>6000</v>
      </c>
      <c r="E14" s="76">
        <v>6000</v>
      </c>
      <c r="F14" s="76">
        <v>0</v>
      </c>
      <c r="G14" s="76">
        <v>0</v>
      </c>
      <c r="H14" s="76">
        <v>1500</v>
      </c>
      <c r="I14" s="76">
        <v>4400</v>
      </c>
      <c r="J14" s="502">
        <v>20353.25</v>
      </c>
      <c r="K14" s="76">
        <v>878.40999999999985</v>
      </c>
      <c r="L14" s="76">
        <v>2064.36</v>
      </c>
      <c r="M14" s="76">
        <v>2064.36</v>
      </c>
      <c r="N14" s="22"/>
    </row>
    <row r="15" spans="1:14" ht="15.75" customHeight="1">
      <c r="A15" s="2"/>
      <c r="B15" s="84" t="s">
        <v>1085</v>
      </c>
      <c r="C15" s="84" t="s">
        <v>1086</v>
      </c>
      <c r="D15" s="76"/>
      <c r="E15" s="76"/>
      <c r="F15" s="76">
        <v>6000</v>
      </c>
      <c r="G15" s="76">
        <v>6000</v>
      </c>
      <c r="H15" s="76">
        <v>0</v>
      </c>
      <c r="I15" s="238"/>
      <c r="J15" s="502">
        <v>138.94</v>
      </c>
      <c r="K15" s="76">
        <v>4316</v>
      </c>
      <c r="L15" s="76">
        <v>4316.5</v>
      </c>
      <c r="M15" s="238"/>
      <c r="N15" s="22"/>
    </row>
    <row r="16" spans="1:14" ht="15.75" customHeight="1">
      <c r="A16" s="2"/>
      <c r="B16" s="84" t="s">
        <v>555</v>
      </c>
      <c r="C16" s="84" t="s">
        <v>1087</v>
      </c>
      <c r="D16" s="76">
        <v>30000</v>
      </c>
      <c r="E16" s="76">
        <v>30000</v>
      </c>
      <c r="F16" s="76">
        <v>30000</v>
      </c>
      <c r="G16" s="76">
        <v>30000</v>
      </c>
      <c r="H16" s="76">
        <v>2000</v>
      </c>
      <c r="I16" s="76">
        <v>4700</v>
      </c>
      <c r="J16" s="502">
        <v>8695.2199999999993</v>
      </c>
      <c r="K16" s="76">
        <v>26631.279999999999</v>
      </c>
      <c r="L16" s="76">
        <v>289.19</v>
      </c>
      <c r="M16" s="76">
        <v>24989.26</v>
      </c>
      <c r="N16" s="22"/>
    </row>
    <row r="17" spans="1:14" ht="15.75" customHeight="1">
      <c r="A17" s="2"/>
      <c r="B17" s="84" t="s">
        <v>1088</v>
      </c>
      <c r="C17" s="84" t="s">
        <v>1089</v>
      </c>
      <c r="D17" s="76">
        <v>0</v>
      </c>
      <c r="E17" s="76">
        <v>0</v>
      </c>
      <c r="F17" s="76">
        <v>0</v>
      </c>
      <c r="G17" s="76">
        <v>0</v>
      </c>
      <c r="H17" s="76">
        <v>1000</v>
      </c>
      <c r="I17" s="84" t="s">
        <v>44</v>
      </c>
      <c r="J17" s="538">
        <v>52.8</v>
      </c>
      <c r="K17" s="74">
        <v>0</v>
      </c>
      <c r="L17" s="76">
        <v>0</v>
      </c>
      <c r="M17" s="90" t="s">
        <v>44</v>
      </c>
      <c r="N17" s="22"/>
    </row>
    <row r="18" spans="1:14" ht="15.75" customHeight="1">
      <c r="A18" s="2"/>
      <c r="B18" s="84" t="s">
        <v>1090</v>
      </c>
      <c r="C18" s="84" t="s">
        <v>1091</v>
      </c>
      <c r="D18" s="76">
        <v>1200</v>
      </c>
      <c r="E18" s="76">
        <v>1200</v>
      </c>
      <c r="F18" s="76">
        <v>900</v>
      </c>
      <c r="G18" s="76">
        <v>900</v>
      </c>
      <c r="H18" s="76"/>
      <c r="I18" s="238"/>
      <c r="J18" s="502">
        <v>1446.53</v>
      </c>
      <c r="K18" s="76">
        <v>786.52</v>
      </c>
      <c r="L18" s="76"/>
      <c r="M18" s="417"/>
      <c r="N18" s="415"/>
    </row>
    <row r="19" spans="1:14" ht="15.75" customHeight="1">
      <c r="A19" s="2"/>
      <c r="B19" s="84" t="s">
        <v>218</v>
      </c>
      <c r="C19" s="84" t="s">
        <v>1092</v>
      </c>
      <c r="D19" s="76">
        <v>1200</v>
      </c>
      <c r="E19" s="76">
        <v>1200</v>
      </c>
      <c r="F19" s="76">
        <v>300</v>
      </c>
      <c r="G19" s="76">
        <v>300</v>
      </c>
      <c r="H19" s="76">
        <v>300</v>
      </c>
      <c r="I19" s="76">
        <v>3100</v>
      </c>
      <c r="J19" s="502">
        <v>2894.59</v>
      </c>
      <c r="K19" s="76">
        <v>1512.18</v>
      </c>
      <c r="L19" s="76">
        <v>1512.18</v>
      </c>
      <c r="M19" s="76">
        <v>1512.18</v>
      </c>
      <c r="N19" s="415"/>
    </row>
    <row r="20" spans="1:14" ht="15.75" customHeight="1">
      <c r="A20" s="2"/>
      <c r="B20" s="90" t="s">
        <v>175</v>
      </c>
      <c r="C20" s="90" t="s">
        <v>1093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250</v>
      </c>
      <c r="J20" s="503"/>
      <c r="K20" s="120">
        <v>296.14999999999998</v>
      </c>
      <c r="L20" s="120">
        <v>296.14999999999998</v>
      </c>
      <c r="M20" s="76">
        <v>296.14999999999998</v>
      </c>
      <c r="N20" s="416"/>
    </row>
    <row r="21" spans="1:14" ht="15.75" customHeight="1">
      <c r="A21" s="2"/>
      <c r="B21" s="239"/>
      <c r="C21" s="54" t="s">
        <v>197</v>
      </c>
      <c r="D21" s="240">
        <f t="shared" ref="D21" si="0">SUM(D4:D20)</f>
        <v>278874</v>
      </c>
      <c r="E21" s="240">
        <f t="shared" ref="E21:J21" si="1">SUM(E4:E20)</f>
        <v>278874</v>
      </c>
      <c r="F21" s="240">
        <f t="shared" si="1"/>
        <v>244933</v>
      </c>
      <c r="G21" s="41">
        <f t="shared" si="1"/>
        <v>259933</v>
      </c>
      <c r="H21" s="41">
        <f t="shared" si="1"/>
        <v>138605</v>
      </c>
      <c r="I21" s="41">
        <f t="shared" si="1"/>
        <v>112602</v>
      </c>
      <c r="J21" s="519">
        <f t="shared" si="1"/>
        <v>164526.32999999996</v>
      </c>
      <c r="K21" s="41">
        <v>112086.47</v>
      </c>
      <c r="L21" s="41">
        <f>SUM(L4:L20)</f>
        <v>84870.2</v>
      </c>
      <c r="M21" s="30">
        <v>102067.51</v>
      </c>
      <c r="N21" s="22"/>
    </row>
    <row r="22" spans="1:14" ht="15.75" customHeight="1">
      <c r="A22" s="2"/>
      <c r="B22" s="171" t="s">
        <v>1094</v>
      </c>
      <c r="C22" s="236"/>
      <c r="D22" s="236"/>
      <c r="E22" s="236"/>
      <c r="F22" s="236"/>
      <c r="G22" s="11"/>
      <c r="H22" s="11"/>
      <c r="I22" s="11"/>
      <c r="J22" s="502"/>
      <c r="K22" s="70"/>
      <c r="L22" s="11"/>
      <c r="M22" s="11"/>
      <c r="N22" s="22"/>
    </row>
    <row r="23" spans="1:14" ht="15.75" customHeight="1">
      <c r="A23" s="2"/>
      <c r="B23" s="84" t="s">
        <v>1095</v>
      </c>
      <c r="C23" s="84" t="s">
        <v>1096</v>
      </c>
      <c r="D23" s="238">
        <v>0</v>
      </c>
      <c r="E23" s="238">
        <v>0</v>
      </c>
      <c r="F23" s="238">
        <v>0</v>
      </c>
      <c r="G23" s="76">
        <v>0</v>
      </c>
      <c r="H23" s="76">
        <v>89500</v>
      </c>
      <c r="I23" s="76">
        <v>85332</v>
      </c>
      <c r="J23" s="502">
        <v>30576.98</v>
      </c>
      <c r="K23" s="76">
        <v>36433.519999999997</v>
      </c>
      <c r="L23" s="76">
        <v>28741.200000000001</v>
      </c>
      <c r="M23" s="76">
        <v>24895.040000000001</v>
      </c>
      <c r="N23" s="418"/>
    </row>
    <row r="24" spans="1:14" ht="15.75" customHeight="1">
      <c r="A24" s="2"/>
      <c r="B24" s="84" t="s">
        <v>1097</v>
      </c>
      <c r="C24" s="84" t="s">
        <v>1098</v>
      </c>
      <c r="D24" s="238">
        <v>0</v>
      </c>
      <c r="E24" s="238">
        <v>0</v>
      </c>
      <c r="F24" s="238">
        <v>0</v>
      </c>
      <c r="G24" s="76">
        <v>0</v>
      </c>
      <c r="H24" s="76">
        <v>13000</v>
      </c>
      <c r="I24" s="76">
        <v>12239</v>
      </c>
      <c r="J24" s="502"/>
      <c r="K24" s="76">
        <v>2940</v>
      </c>
      <c r="L24" s="76">
        <v>2940</v>
      </c>
      <c r="M24" s="76">
        <v>2940</v>
      </c>
      <c r="N24" s="22"/>
    </row>
    <row r="25" spans="1:14" ht="15.75" customHeight="1">
      <c r="A25" s="2"/>
      <c r="B25" s="84" t="s">
        <v>200</v>
      </c>
      <c r="C25" s="84" t="s">
        <v>1099</v>
      </c>
      <c r="D25" s="238">
        <v>0</v>
      </c>
      <c r="E25" s="238">
        <v>0</v>
      </c>
      <c r="F25" s="238">
        <v>0</v>
      </c>
      <c r="G25" s="76">
        <v>0</v>
      </c>
      <c r="H25" s="76">
        <v>27000</v>
      </c>
      <c r="I25" s="76">
        <v>26494</v>
      </c>
      <c r="J25" s="502">
        <v>4063.81</v>
      </c>
      <c r="K25" s="76">
        <v>8246.33</v>
      </c>
      <c r="L25" s="76">
        <v>5704.65</v>
      </c>
      <c r="M25" s="76">
        <v>5421.26</v>
      </c>
      <c r="N25" s="22"/>
    </row>
    <row r="26" spans="1:14" ht="15.75" customHeight="1">
      <c r="A26" s="2"/>
      <c r="B26" s="84" t="s">
        <v>1100</v>
      </c>
      <c r="C26" s="84" t="s">
        <v>1101</v>
      </c>
      <c r="D26" s="238">
        <v>0</v>
      </c>
      <c r="E26" s="238">
        <v>0</v>
      </c>
      <c r="F26" s="238">
        <v>0</v>
      </c>
      <c r="G26" s="76">
        <v>0</v>
      </c>
      <c r="H26" s="76">
        <v>0</v>
      </c>
      <c r="I26" s="84" t="s">
        <v>44</v>
      </c>
      <c r="J26" s="502"/>
      <c r="K26" s="76">
        <v>-720</v>
      </c>
      <c r="L26" s="76">
        <v>0</v>
      </c>
      <c r="M26" s="84" t="s">
        <v>44</v>
      </c>
      <c r="N26" s="22"/>
    </row>
    <row r="27" spans="1:14" ht="15.75" customHeight="1">
      <c r="A27" s="2"/>
      <c r="B27" s="84" t="s">
        <v>204</v>
      </c>
      <c r="C27" s="84" t="s">
        <v>1102</v>
      </c>
      <c r="D27" s="238">
        <v>0</v>
      </c>
      <c r="E27" s="238">
        <v>0</v>
      </c>
      <c r="F27" s="238">
        <v>0</v>
      </c>
      <c r="G27" s="76">
        <v>0</v>
      </c>
      <c r="H27" s="76">
        <v>540</v>
      </c>
      <c r="I27" s="76">
        <v>518</v>
      </c>
      <c r="J27" s="502">
        <v>535.20000000000005</v>
      </c>
      <c r="K27" s="76">
        <v>551.9</v>
      </c>
      <c r="L27" s="76">
        <v>416.6</v>
      </c>
      <c r="M27" s="76">
        <v>416.6</v>
      </c>
      <c r="N27" s="22"/>
    </row>
    <row r="28" spans="1:14" ht="15.75" customHeight="1">
      <c r="A28" s="2"/>
      <c r="B28" s="84" t="s">
        <v>206</v>
      </c>
      <c r="C28" s="84" t="s">
        <v>1103</v>
      </c>
      <c r="D28" s="238">
        <v>0</v>
      </c>
      <c r="E28" s="238">
        <v>0</v>
      </c>
      <c r="F28" s="238">
        <v>0</v>
      </c>
      <c r="G28" s="76">
        <v>0</v>
      </c>
      <c r="H28" s="76">
        <v>100</v>
      </c>
      <c r="I28" s="76">
        <v>100</v>
      </c>
      <c r="J28" s="502">
        <v>41.61</v>
      </c>
      <c r="K28" s="76">
        <v>44.79</v>
      </c>
      <c r="L28" s="76">
        <v>44.79</v>
      </c>
      <c r="M28" s="76">
        <v>44.79</v>
      </c>
      <c r="N28" s="22"/>
    </row>
    <row r="29" spans="1:14" ht="15.75" customHeight="1">
      <c r="A29" s="2"/>
      <c r="B29" s="84" t="s">
        <v>208</v>
      </c>
      <c r="C29" s="84" t="s">
        <v>1104</v>
      </c>
      <c r="D29" s="238">
        <v>0</v>
      </c>
      <c r="E29" s="238">
        <v>0</v>
      </c>
      <c r="F29" s="238">
        <v>0</v>
      </c>
      <c r="G29" s="76">
        <v>0</v>
      </c>
      <c r="H29" s="76">
        <v>0</v>
      </c>
      <c r="I29" s="84" t="s">
        <v>44</v>
      </c>
      <c r="J29" s="502"/>
      <c r="K29" s="76">
        <v>0</v>
      </c>
      <c r="L29" s="76">
        <v>0</v>
      </c>
      <c r="M29" s="84" t="s">
        <v>44</v>
      </c>
      <c r="N29" s="22"/>
    </row>
    <row r="30" spans="1:14" ht="15.75" customHeight="1">
      <c r="A30" s="2"/>
      <c r="B30" s="84" t="s">
        <v>167</v>
      </c>
      <c r="C30" s="84" t="s">
        <v>1105</v>
      </c>
      <c r="D30" s="238">
        <v>0</v>
      </c>
      <c r="E30" s="238">
        <v>0</v>
      </c>
      <c r="F30" s="238">
        <v>0</v>
      </c>
      <c r="G30" s="76">
        <v>0</v>
      </c>
      <c r="H30" s="76">
        <v>0</v>
      </c>
      <c r="I30" s="76">
        <v>100</v>
      </c>
      <c r="J30" s="502"/>
      <c r="K30" s="76">
        <v>33.6</v>
      </c>
      <c r="L30" s="76">
        <v>33.6</v>
      </c>
      <c r="M30" s="76">
        <v>33.6</v>
      </c>
      <c r="N30" s="22"/>
    </row>
    <row r="31" spans="1:14" ht="15.75" customHeight="1">
      <c r="A31" s="2"/>
      <c r="B31" s="84" t="s">
        <v>169</v>
      </c>
      <c r="C31" s="84" t="s">
        <v>1106</v>
      </c>
      <c r="D31" s="238">
        <v>0</v>
      </c>
      <c r="E31" s="238">
        <v>0</v>
      </c>
      <c r="F31" s="238">
        <v>0</v>
      </c>
      <c r="G31" s="76">
        <v>0</v>
      </c>
      <c r="H31" s="76">
        <v>0</v>
      </c>
      <c r="I31" s="76">
        <v>25</v>
      </c>
      <c r="J31" s="502">
        <v>31.2</v>
      </c>
      <c r="K31" s="76">
        <v>0.18</v>
      </c>
      <c r="L31" s="76">
        <v>0</v>
      </c>
      <c r="M31" s="76">
        <v>0.18</v>
      </c>
      <c r="N31" s="22"/>
    </row>
    <row r="32" spans="1:14" ht="15.75" customHeight="1">
      <c r="A32" s="2"/>
      <c r="B32" s="84" t="s">
        <v>1107</v>
      </c>
      <c r="C32" s="84" t="s">
        <v>1108</v>
      </c>
      <c r="D32" s="238">
        <v>0</v>
      </c>
      <c r="E32" s="238">
        <v>0</v>
      </c>
      <c r="F32" s="238">
        <v>0</v>
      </c>
      <c r="G32" s="76">
        <v>0</v>
      </c>
      <c r="H32" s="76">
        <v>0</v>
      </c>
      <c r="I32" s="84" t="s">
        <v>44</v>
      </c>
      <c r="J32" s="502"/>
      <c r="K32" s="76">
        <v>0</v>
      </c>
      <c r="L32" s="76">
        <v>0</v>
      </c>
      <c r="M32" s="84" t="s">
        <v>44</v>
      </c>
      <c r="N32" s="22"/>
    </row>
    <row r="33" spans="1:14" ht="15.75" customHeight="1">
      <c r="A33" s="2"/>
      <c r="B33" s="84" t="s">
        <v>1109</v>
      </c>
      <c r="C33" s="84" t="s">
        <v>1110</v>
      </c>
      <c r="D33" s="238">
        <v>0</v>
      </c>
      <c r="E33" s="238">
        <v>0</v>
      </c>
      <c r="F33" s="238">
        <v>0</v>
      </c>
      <c r="G33" s="76">
        <v>0</v>
      </c>
      <c r="H33" s="76">
        <v>0</v>
      </c>
      <c r="I33" s="84" t="s">
        <v>44</v>
      </c>
      <c r="J33" s="502"/>
      <c r="K33" s="76">
        <v>0</v>
      </c>
      <c r="L33" s="76">
        <v>0</v>
      </c>
      <c r="M33" s="84" t="s">
        <v>44</v>
      </c>
      <c r="N33" s="22"/>
    </row>
    <row r="34" spans="1:14" ht="15.75" customHeight="1">
      <c r="A34" s="2"/>
      <c r="B34" s="84" t="s">
        <v>1111</v>
      </c>
      <c r="C34" s="84" t="s">
        <v>1112</v>
      </c>
      <c r="D34" s="238">
        <v>0</v>
      </c>
      <c r="E34" s="238">
        <v>0</v>
      </c>
      <c r="F34" s="238">
        <v>0</v>
      </c>
      <c r="G34" s="76">
        <v>0</v>
      </c>
      <c r="H34" s="76">
        <v>0</v>
      </c>
      <c r="I34" s="84" t="s">
        <v>44</v>
      </c>
      <c r="J34" s="502"/>
      <c r="K34" s="76">
        <v>487.18</v>
      </c>
      <c r="L34" s="76">
        <v>487.18</v>
      </c>
      <c r="M34" s="76">
        <v>487.18</v>
      </c>
      <c r="N34" s="22"/>
    </row>
    <row r="35" spans="1:14" ht="15.75" customHeight="1">
      <c r="A35" s="2"/>
      <c r="B35" s="84" t="s">
        <v>1065</v>
      </c>
      <c r="C35" s="84" t="s">
        <v>1113</v>
      </c>
      <c r="D35" s="238">
        <v>0</v>
      </c>
      <c r="E35" s="238">
        <v>0</v>
      </c>
      <c r="F35" s="238">
        <v>0</v>
      </c>
      <c r="G35" s="76">
        <v>0</v>
      </c>
      <c r="H35" s="76">
        <v>0</v>
      </c>
      <c r="I35" s="76">
        <v>900</v>
      </c>
      <c r="J35" s="502"/>
      <c r="K35" s="76">
        <v>0</v>
      </c>
      <c r="L35" s="76">
        <v>0</v>
      </c>
      <c r="M35" s="84" t="s">
        <v>44</v>
      </c>
      <c r="N35" s="22"/>
    </row>
    <row r="36" spans="1:14" ht="15.75" customHeight="1">
      <c r="A36" s="2"/>
      <c r="B36" s="84" t="s">
        <v>276</v>
      </c>
      <c r="C36" s="84" t="s">
        <v>1114</v>
      </c>
      <c r="D36" s="238">
        <v>0</v>
      </c>
      <c r="E36" s="238">
        <v>0</v>
      </c>
      <c r="F36" s="238">
        <v>0</v>
      </c>
      <c r="G36" s="76">
        <v>0</v>
      </c>
      <c r="H36" s="76">
        <v>0</v>
      </c>
      <c r="I36" s="76">
        <v>450</v>
      </c>
      <c r="J36" s="502"/>
      <c r="K36" s="76">
        <v>0</v>
      </c>
      <c r="L36" s="76">
        <v>0</v>
      </c>
      <c r="M36" s="84" t="s">
        <v>44</v>
      </c>
      <c r="N36" s="22"/>
    </row>
    <row r="37" spans="1:14" ht="15.75" customHeight="1">
      <c r="A37" s="2"/>
      <c r="B37" s="84" t="s">
        <v>1115</v>
      </c>
      <c r="C37" s="84" t="s">
        <v>1116</v>
      </c>
      <c r="D37" s="238">
        <v>0</v>
      </c>
      <c r="E37" s="238">
        <v>0</v>
      </c>
      <c r="F37" s="238">
        <v>0</v>
      </c>
      <c r="G37" s="76">
        <v>0</v>
      </c>
      <c r="H37" s="76">
        <v>0</v>
      </c>
      <c r="I37" s="84" t="s">
        <v>44</v>
      </c>
      <c r="J37" s="502"/>
      <c r="K37" s="76">
        <v>0</v>
      </c>
      <c r="L37" s="76">
        <v>0</v>
      </c>
      <c r="M37" s="84" t="s">
        <v>44</v>
      </c>
      <c r="N37" s="22"/>
    </row>
    <row r="38" spans="1:14" ht="15.75" customHeight="1">
      <c r="A38" s="2"/>
      <c r="B38" s="84" t="s">
        <v>1117</v>
      </c>
      <c r="C38" s="84" t="s">
        <v>1118</v>
      </c>
      <c r="D38" s="238">
        <v>0</v>
      </c>
      <c r="E38" s="238">
        <v>0</v>
      </c>
      <c r="F38" s="238">
        <v>0</v>
      </c>
      <c r="G38" s="76">
        <v>0</v>
      </c>
      <c r="H38" s="76">
        <v>700</v>
      </c>
      <c r="I38" s="84" t="s">
        <v>44</v>
      </c>
      <c r="J38" s="502"/>
      <c r="K38" s="76">
        <v>0</v>
      </c>
      <c r="L38" s="76">
        <v>0</v>
      </c>
      <c r="M38" s="84" t="s">
        <v>44</v>
      </c>
      <c r="N38" s="22"/>
    </row>
    <row r="39" spans="1:14" ht="15.75" customHeight="1">
      <c r="A39" s="2"/>
      <c r="B39" s="84" t="s">
        <v>1119</v>
      </c>
      <c r="C39" s="84" t="s">
        <v>1120</v>
      </c>
      <c r="D39" s="238">
        <v>0</v>
      </c>
      <c r="E39" s="238">
        <v>0</v>
      </c>
      <c r="F39" s="238">
        <v>0</v>
      </c>
      <c r="G39" s="76">
        <v>0</v>
      </c>
      <c r="H39" s="76">
        <v>0</v>
      </c>
      <c r="I39" s="84" t="s">
        <v>44</v>
      </c>
      <c r="J39" s="502"/>
      <c r="K39" s="76">
        <v>0</v>
      </c>
      <c r="L39" s="76">
        <v>0</v>
      </c>
      <c r="M39" s="84" t="s">
        <v>44</v>
      </c>
      <c r="N39" s="22"/>
    </row>
    <row r="40" spans="1:14" ht="15.75" customHeight="1">
      <c r="A40" s="2"/>
      <c r="B40" s="84" t="s">
        <v>218</v>
      </c>
      <c r="C40" s="84" t="s">
        <v>1121</v>
      </c>
      <c r="D40" s="238">
        <v>0</v>
      </c>
      <c r="E40" s="238">
        <v>0</v>
      </c>
      <c r="F40" s="238">
        <v>0</v>
      </c>
      <c r="G40" s="76">
        <v>0</v>
      </c>
      <c r="H40" s="76">
        <v>2000</v>
      </c>
      <c r="I40" s="76">
        <v>2300</v>
      </c>
      <c r="J40" s="502"/>
      <c r="K40" s="76">
        <v>0</v>
      </c>
      <c r="L40" s="76">
        <v>2163.44</v>
      </c>
      <c r="M40" s="76">
        <v>2163.44</v>
      </c>
      <c r="N40" s="22"/>
    </row>
    <row r="41" spans="1:14" ht="15.75" customHeight="1">
      <c r="A41" s="2"/>
      <c r="B41" s="84" t="s">
        <v>1122</v>
      </c>
      <c r="C41" s="84" t="s">
        <v>1123</v>
      </c>
      <c r="D41" s="238">
        <v>0</v>
      </c>
      <c r="E41" s="238">
        <v>0</v>
      </c>
      <c r="F41" s="238">
        <v>0</v>
      </c>
      <c r="G41" s="76">
        <v>0</v>
      </c>
      <c r="H41" s="76">
        <v>0</v>
      </c>
      <c r="I41" s="76">
        <v>840</v>
      </c>
      <c r="J41" s="502"/>
      <c r="K41" s="76">
        <v>0</v>
      </c>
      <c r="L41" s="76">
        <v>0</v>
      </c>
      <c r="M41" s="84" t="s">
        <v>44</v>
      </c>
      <c r="N41" s="22"/>
    </row>
    <row r="42" spans="1:14" ht="15.75" customHeight="1">
      <c r="A42" s="2"/>
      <c r="B42" s="84" t="s">
        <v>594</v>
      </c>
      <c r="C42" s="84" t="s">
        <v>1124</v>
      </c>
      <c r="D42" s="238">
        <v>0</v>
      </c>
      <c r="E42" s="238">
        <v>0</v>
      </c>
      <c r="F42" s="238">
        <v>0</v>
      </c>
      <c r="G42" s="76">
        <v>0</v>
      </c>
      <c r="H42" s="76">
        <v>1200</v>
      </c>
      <c r="I42" s="84" t="s">
        <v>44</v>
      </c>
      <c r="J42" s="502"/>
      <c r="K42" s="76">
        <v>0</v>
      </c>
      <c r="L42" s="76">
        <v>0</v>
      </c>
      <c r="M42" s="84" t="s">
        <v>44</v>
      </c>
      <c r="N42" s="22"/>
    </row>
    <row r="43" spans="1:14" ht="15.75" customHeight="1">
      <c r="A43" s="2"/>
      <c r="B43" s="252" t="s">
        <v>734</v>
      </c>
      <c r="C43" s="7"/>
      <c r="D43" s="238">
        <v>0</v>
      </c>
      <c r="E43" s="238">
        <v>0</v>
      </c>
      <c r="F43" s="238">
        <v>0</v>
      </c>
      <c r="G43" s="76"/>
      <c r="H43" s="76">
        <v>0</v>
      </c>
      <c r="I43" s="84" t="s">
        <v>44</v>
      </c>
      <c r="J43" s="502"/>
      <c r="K43" s="76"/>
      <c r="L43" s="76">
        <v>0</v>
      </c>
      <c r="M43" s="134"/>
      <c r="N43" s="22"/>
    </row>
    <row r="44" spans="1:14" ht="15.75" customHeight="1">
      <c r="A44" s="2"/>
      <c r="B44" s="84" t="s">
        <v>1125</v>
      </c>
      <c r="C44" s="84" t="s">
        <v>1126</v>
      </c>
      <c r="D44" s="238">
        <v>0</v>
      </c>
      <c r="E44" s="238">
        <v>0</v>
      </c>
      <c r="F44" s="238">
        <v>0</v>
      </c>
      <c r="G44" s="76">
        <v>0</v>
      </c>
      <c r="H44" s="76">
        <v>0</v>
      </c>
      <c r="I44" s="84" t="s">
        <v>44</v>
      </c>
      <c r="J44" s="502"/>
      <c r="K44" s="76">
        <v>0</v>
      </c>
      <c r="L44" s="76">
        <v>0</v>
      </c>
      <c r="M44" s="84" t="s">
        <v>44</v>
      </c>
      <c r="N44" s="22"/>
    </row>
    <row r="45" spans="1:14" ht="15.75" customHeight="1">
      <c r="A45" s="2"/>
      <c r="B45" s="84" t="s">
        <v>1127</v>
      </c>
      <c r="C45" s="84" t="s">
        <v>1128</v>
      </c>
      <c r="D45" s="238">
        <v>0</v>
      </c>
      <c r="E45" s="238">
        <v>0</v>
      </c>
      <c r="F45" s="238">
        <v>0</v>
      </c>
      <c r="G45" s="76">
        <v>0</v>
      </c>
      <c r="H45" s="76">
        <v>0</v>
      </c>
      <c r="I45" s="84" t="s">
        <v>44</v>
      </c>
      <c r="J45" s="502"/>
      <c r="K45" s="76">
        <v>0</v>
      </c>
      <c r="L45" s="76">
        <v>0</v>
      </c>
      <c r="M45" s="84" t="s">
        <v>44</v>
      </c>
      <c r="N45" s="22"/>
    </row>
    <row r="46" spans="1:14" ht="15.75" customHeight="1">
      <c r="A46" s="2"/>
      <c r="B46" s="84" t="s">
        <v>1094</v>
      </c>
      <c r="C46" s="84" t="s">
        <v>1129</v>
      </c>
      <c r="D46" s="238">
        <v>0</v>
      </c>
      <c r="E46" s="238">
        <v>0</v>
      </c>
      <c r="F46" s="238">
        <v>0</v>
      </c>
      <c r="G46" s="76">
        <v>0</v>
      </c>
      <c r="H46" s="76">
        <v>0</v>
      </c>
      <c r="I46" s="84" t="s">
        <v>44</v>
      </c>
      <c r="J46" s="502"/>
      <c r="K46" s="76">
        <v>0</v>
      </c>
      <c r="L46" s="76">
        <v>0</v>
      </c>
      <c r="M46" s="84" t="s">
        <v>44</v>
      </c>
      <c r="N46" s="22"/>
    </row>
    <row r="47" spans="1:14" ht="15.75" customHeight="1">
      <c r="A47" s="2"/>
      <c r="B47" s="84" t="s">
        <v>1130</v>
      </c>
      <c r="C47" s="84" t="s">
        <v>1131</v>
      </c>
      <c r="D47" s="238">
        <v>0</v>
      </c>
      <c r="E47" s="238">
        <v>0</v>
      </c>
      <c r="F47" s="238">
        <v>0</v>
      </c>
      <c r="G47" s="76">
        <v>0</v>
      </c>
      <c r="H47" s="76">
        <v>0</v>
      </c>
      <c r="I47" s="84" t="s">
        <v>44</v>
      </c>
      <c r="J47" s="502"/>
      <c r="K47" s="76">
        <v>0</v>
      </c>
      <c r="L47" s="76">
        <v>0</v>
      </c>
      <c r="M47" s="84" t="s">
        <v>44</v>
      </c>
      <c r="N47" s="22"/>
    </row>
    <row r="48" spans="1:14" ht="15.75" customHeight="1">
      <c r="A48" s="2"/>
      <c r="B48" s="90" t="s">
        <v>1132</v>
      </c>
      <c r="C48" s="90" t="s">
        <v>1133</v>
      </c>
      <c r="D48" s="256"/>
      <c r="E48" s="256"/>
      <c r="F48" s="256">
        <v>0</v>
      </c>
      <c r="G48" s="120">
        <v>0</v>
      </c>
      <c r="H48" s="120">
        <v>0</v>
      </c>
      <c r="I48" s="90" t="s">
        <v>44</v>
      </c>
      <c r="J48" s="503"/>
      <c r="K48" s="120">
        <v>0</v>
      </c>
      <c r="L48" s="120">
        <v>0</v>
      </c>
      <c r="M48" s="90" t="s">
        <v>44</v>
      </c>
      <c r="N48" s="22"/>
    </row>
    <row r="49" spans="1:14" ht="15.75" customHeight="1">
      <c r="A49" s="2"/>
      <c r="B49" s="239"/>
      <c r="C49" s="54" t="s">
        <v>197</v>
      </c>
      <c r="D49" s="240">
        <f t="shared" ref="D49" si="2">SUM(D23:D48)</f>
        <v>0</v>
      </c>
      <c r="E49" s="240">
        <f t="shared" ref="E49:J49" si="3">SUM(E23:E48)</f>
        <v>0</v>
      </c>
      <c r="F49" s="240">
        <f t="shared" si="3"/>
        <v>0</v>
      </c>
      <c r="G49" s="41">
        <f t="shared" si="3"/>
        <v>0</v>
      </c>
      <c r="H49" s="41">
        <f t="shared" si="3"/>
        <v>134040</v>
      </c>
      <c r="I49" s="41">
        <f t="shared" si="3"/>
        <v>129298</v>
      </c>
      <c r="J49" s="519">
        <f t="shared" si="3"/>
        <v>35248.799999999996</v>
      </c>
      <c r="K49" s="41">
        <v>48017.5</v>
      </c>
      <c r="L49" s="41">
        <f>SUM(L23:L48)</f>
        <v>40531.46</v>
      </c>
      <c r="M49" s="41">
        <v>36402.089999999997</v>
      </c>
      <c r="N49" s="22"/>
    </row>
    <row r="50" spans="1:14" ht="15.75" customHeight="1">
      <c r="A50" s="45"/>
      <c r="B50" s="171" t="s">
        <v>48</v>
      </c>
      <c r="C50" s="236"/>
      <c r="D50" s="236"/>
      <c r="E50" s="236"/>
      <c r="F50" s="236"/>
      <c r="G50" s="11"/>
      <c r="H50" s="11"/>
      <c r="I50" s="11"/>
      <c r="J50" s="502"/>
      <c r="K50" s="70"/>
      <c r="L50" s="11"/>
      <c r="M50" s="11"/>
      <c r="N50" s="22"/>
    </row>
    <row r="51" spans="1:14" ht="15.75" customHeight="1">
      <c r="A51" s="122" t="s">
        <v>1134</v>
      </c>
      <c r="B51" s="84" t="s">
        <v>1135</v>
      </c>
      <c r="C51" s="84" t="s">
        <v>1136</v>
      </c>
      <c r="D51" s="76">
        <v>63674</v>
      </c>
      <c r="E51" s="76">
        <v>63674</v>
      </c>
      <c r="F51" s="76">
        <v>53000</v>
      </c>
      <c r="G51" s="76">
        <v>62000</v>
      </c>
      <c r="H51" s="76">
        <v>60000</v>
      </c>
      <c r="I51" s="76">
        <v>60000</v>
      </c>
      <c r="J51" s="502">
        <v>43437.45</v>
      </c>
      <c r="K51" s="76">
        <v>47105.52</v>
      </c>
      <c r="L51" s="76">
        <v>44187.45</v>
      </c>
      <c r="M51" s="401"/>
      <c r="N51" s="22"/>
    </row>
    <row r="52" spans="1:14" ht="15.75" customHeight="1">
      <c r="A52" s="123"/>
      <c r="B52" s="84" t="s">
        <v>230</v>
      </c>
      <c r="C52" s="84" t="s">
        <v>1137</v>
      </c>
      <c r="D52" s="76">
        <v>14645.02</v>
      </c>
      <c r="E52" s="76">
        <v>14645.02</v>
      </c>
      <c r="F52" s="76">
        <f>F51*0.23</f>
        <v>12190</v>
      </c>
      <c r="G52" s="76">
        <f>G51*0.23</f>
        <v>14260</v>
      </c>
      <c r="H52" s="76">
        <v>13200</v>
      </c>
      <c r="I52" s="76">
        <v>13200</v>
      </c>
      <c r="J52" s="502">
        <v>10404.950000000001</v>
      </c>
      <c r="K52" s="76">
        <v>12134.96</v>
      </c>
      <c r="L52" s="76">
        <v>11673.22</v>
      </c>
      <c r="M52" s="401"/>
      <c r="N52" s="419"/>
    </row>
    <row r="53" spans="1:14" ht="15.75" customHeight="1">
      <c r="A53" s="2"/>
      <c r="B53" s="84" t="s">
        <v>642</v>
      </c>
      <c r="C53" s="84" t="s">
        <v>1138</v>
      </c>
      <c r="D53" s="76">
        <v>600</v>
      </c>
      <c r="E53" s="76">
        <v>600</v>
      </c>
      <c r="F53" s="76">
        <v>600</v>
      </c>
      <c r="G53" s="76">
        <v>600</v>
      </c>
      <c r="H53" s="76">
        <v>600</v>
      </c>
      <c r="I53" s="76">
        <v>600</v>
      </c>
      <c r="J53" s="502">
        <v>543.14</v>
      </c>
      <c r="K53" s="76">
        <v>549.62</v>
      </c>
      <c r="L53" s="76">
        <v>414.32</v>
      </c>
      <c r="M53" s="401"/>
      <c r="N53" s="22"/>
    </row>
    <row r="54" spans="1:14" ht="15.75" customHeight="1">
      <c r="A54" s="2"/>
      <c r="B54" s="84" t="s">
        <v>206</v>
      </c>
      <c r="C54" s="84" t="s">
        <v>1139</v>
      </c>
      <c r="D54" s="76">
        <v>22</v>
      </c>
      <c r="E54" s="76">
        <v>22</v>
      </c>
      <c r="F54" s="76">
        <v>20</v>
      </c>
      <c r="G54" s="76">
        <v>20</v>
      </c>
      <c r="H54" s="76">
        <v>20</v>
      </c>
      <c r="I54" s="76">
        <v>25</v>
      </c>
      <c r="J54" s="502">
        <v>2.68</v>
      </c>
      <c r="K54" s="76">
        <v>2.42</v>
      </c>
      <c r="L54" s="76">
        <v>2.42</v>
      </c>
      <c r="M54" s="401"/>
      <c r="N54" s="22"/>
    </row>
    <row r="55" spans="1:14" ht="15.75" customHeight="1">
      <c r="A55" s="2"/>
      <c r="B55" s="84" t="s">
        <v>1140</v>
      </c>
      <c r="C55" s="84" t="s">
        <v>1141</v>
      </c>
      <c r="D55" s="76">
        <v>10</v>
      </c>
      <c r="E55" s="76">
        <v>10</v>
      </c>
      <c r="F55" s="76">
        <v>10</v>
      </c>
      <c r="G55" s="76">
        <v>10</v>
      </c>
      <c r="H55" s="76">
        <v>20</v>
      </c>
      <c r="I55" s="76">
        <v>20</v>
      </c>
      <c r="J55" s="502"/>
      <c r="K55" s="76">
        <v>0</v>
      </c>
      <c r="L55" s="76">
        <v>0</v>
      </c>
      <c r="M55" s="401"/>
      <c r="N55" s="22"/>
    </row>
    <row r="56" spans="1:14" ht="15.75" customHeight="1">
      <c r="A56" s="2"/>
      <c r="B56" s="84" t="s">
        <v>422</v>
      </c>
      <c r="C56" s="84" t="s">
        <v>1142</v>
      </c>
      <c r="D56" s="76">
        <v>100</v>
      </c>
      <c r="E56" s="76">
        <v>100</v>
      </c>
      <c r="F56" s="76">
        <v>100</v>
      </c>
      <c r="G56" s="76">
        <v>100</v>
      </c>
      <c r="H56" s="76">
        <v>100</v>
      </c>
      <c r="I56" s="76">
        <v>100</v>
      </c>
      <c r="J56" s="502">
        <v>482.72</v>
      </c>
      <c r="K56" s="76">
        <v>301.35000000000002</v>
      </c>
      <c r="L56" s="76">
        <v>301.35000000000002</v>
      </c>
      <c r="M56" s="401"/>
      <c r="N56" s="22"/>
    </row>
    <row r="57" spans="1:14" ht="15.75" customHeight="1">
      <c r="A57" s="2"/>
      <c r="B57" s="84" t="s">
        <v>553</v>
      </c>
      <c r="C57" s="84" t="s">
        <v>1143</v>
      </c>
      <c r="D57" s="76">
        <v>15.45</v>
      </c>
      <c r="E57" s="76">
        <v>15.45</v>
      </c>
      <c r="F57" s="76">
        <v>12</v>
      </c>
      <c r="G57" s="76">
        <v>12</v>
      </c>
      <c r="H57" s="76">
        <v>15</v>
      </c>
      <c r="I57" s="76">
        <v>15</v>
      </c>
      <c r="J57" s="502">
        <v>16.739999999999998</v>
      </c>
      <c r="K57" s="76">
        <v>0</v>
      </c>
      <c r="L57" s="76">
        <v>0</v>
      </c>
      <c r="M57" s="401"/>
      <c r="N57" s="22"/>
    </row>
    <row r="58" spans="1:14" ht="15.75" customHeight="1">
      <c r="A58" s="2"/>
      <c r="B58" s="84" t="s">
        <v>1017</v>
      </c>
      <c r="C58" s="84" t="s">
        <v>1144</v>
      </c>
      <c r="D58" s="76">
        <v>4000</v>
      </c>
      <c r="E58" s="76">
        <v>4000</v>
      </c>
      <c r="F58" s="76">
        <v>4000</v>
      </c>
      <c r="G58" s="76">
        <v>4000</v>
      </c>
      <c r="H58" s="76">
        <v>4036</v>
      </c>
      <c r="I58" s="76">
        <v>1700</v>
      </c>
      <c r="J58" s="502">
        <v>882.52</v>
      </c>
      <c r="K58" s="76">
        <v>2038.31</v>
      </c>
      <c r="L58" s="76">
        <v>2038.31</v>
      </c>
      <c r="M58" s="401"/>
      <c r="N58" s="22"/>
    </row>
    <row r="59" spans="1:14" ht="15.75" customHeight="1">
      <c r="A59" s="2"/>
      <c r="B59" s="84" t="s">
        <v>295</v>
      </c>
      <c r="C59" s="90" t="s">
        <v>1145</v>
      </c>
      <c r="D59" s="120">
        <v>1500</v>
      </c>
      <c r="E59" s="120">
        <v>1500</v>
      </c>
      <c r="F59" s="120">
        <v>1500</v>
      </c>
      <c r="G59" s="120">
        <v>1500</v>
      </c>
      <c r="H59" s="120">
        <v>1500</v>
      </c>
      <c r="I59" s="120">
        <v>1800</v>
      </c>
      <c r="J59" s="503">
        <v>301.35000000000002</v>
      </c>
      <c r="K59" s="120">
        <v>0</v>
      </c>
      <c r="L59" s="120">
        <v>0</v>
      </c>
      <c r="M59" s="420"/>
      <c r="N59" s="22"/>
    </row>
    <row r="60" spans="1:14" ht="15.75" customHeight="1">
      <c r="A60" s="2"/>
      <c r="B60" s="287"/>
      <c r="C60" s="54" t="s">
        <v>197</v>
      </c>
      <c r="D60" s="240">
        <f t="shared" ref="D60" si="4">SUM(D51:D59)</f>
        <v>84566.47</v>
      </c>
      <c r="E60" s="240">
        <f t="shared" ref="E60:J60" si="5">SUM(E51:E59)</f>
        <v>84566.47</v>
      </c>
      <c r="F60" s="240">
        <f t="shared" si="5"/>
        <v>71432</v>
      </c>
      <c r="G60" s="41">
        <f t="shared" si="5"/>
        <v>82502</v>
      </c>
      <c r="H60" s="41">
        <f t="shared" si="5"/>
        <v>79491</v>
      </c>
      <c r="I60" s="41">
        <f t="shared" si="5"/>
        <v>77460</v>
      </c>
      <c r="J60" s="519">
        <f t="shared" si="5"/>
        <v>56071.549999999988</v>
      </c>
      <c r="K60" s="198">
        <v>62132.18</v>
      </c>
      <c r="L60" s="41">
        <f>SUM(L51:L59)</f>
        <v>58617.069999999992</v>
      </c>
      <c r="M60" s="337"/>
      <c r="N60" s="22"/>
    </row>
    <row r="61" spans="1:14" ht="15.75" customHeight="1">
      <c r="A61" s="2"/>
      <c r="B61" s="171" t="s">
        <v>1146</v>
      </c>
      <c r="C61" s="236"/>
      <c r="D61" s="236"/>
      <c r="E61" s="236"/>
      <c r="F61" s="236"/>
      <c r="G61" s="11"/>
      <c r="H61" s="11"/>
      <c r="I61" s="163" t="s">
        <v>44</v>
      </c>
      <c r="J61" s="502"/>
      <c r="K61" s="70"/>
      <c r="L61" s="11"/>
      <c r="M61" s="11"/>
      <c r="N61" s="22"/>
    </row>
    <row r="62" spans="1:14" ht="15.75" customHeight="1">
      <c r="A62" s="2"/>
      <c r="B62" s="84" t="s">
        <v>1135</v>
      </c>
      <c r="C62" s="84" t="s">
        <v>1147</v>
      </c>
      <c r="D62" s="76">
        <v>48519</v>
      </c>
      <c r="E62" s="76">
        <v>48519</v>
      </c>
      <c r="F62" s="76">
        <v>50519</v>
      </c>
      <c r="G62" s="76">
        <v>50519</v>
      </c>
      <c r="H62" s="76">
        <v>50519</v>
      </c>
      <c r="I62" s="76">
        <v>50519</v>
      </c>
      <c r="J62" s="502">
        <v>87473.41</v>
      </c>
      <c r="K62" s="76">
        <v>76765.399999999994</v>
      </c>
      <c r="L62" s="76">
        <v>66019.199999999997</v>
      </c>
      <c r="M62" s="401"/>
      <c r="N62" s="22"/>
    </row>
    <row r="63" spans="1:14" ht="15.75" customHeight="1">
      <c r="A63" s="2"/>
      <c r="B63" s="84" t="s">
        <v>200</v>
      </c>
      <c r="C63" s="84" t="s">
        <v>1148</v>
      </c>
      <c r="D63" s="76">
        <v>11149</v>
      </c>
      <c r="E63" s="76">
        <v>11149</v>
      </c>
      <c r="F63" s="76">
        <v>11114</v>
      </c>
      <c r="G63" s="76">
        <v>11114</v>
      </c>
      <c r="H63" s="76">
        <v>11114</v>
      </c>
      <c r="I63" s="76">
        <v>11114.18</v>
      </c>
      <c r="J63" s="502">
        <v>20987.8</v>
      </c>
      <c r="K63" s="76">
        <v>16274.36</v>
      </c>
      <c r="L63" s="76">
        <v>13690.42</v>
      </c>
      <c r="M63" s="401"/>
      <c r="N63" s="22"/>
    </row>
    <row r="64" spans="1:14" ht="15.75" customHeight="1">
      <c r="A64" s="2"/>
      <c r="B64" s="84" t="s">
        <v>1149</v>
      </c>
      <c r="C64" s="84" t="s">
        <v>1150</v>
      </c>
      <c r="D64" s="76">
        <v>24168</v>
      </c>
      <c r="E64" s="76">
        <v>24168</v>
      </c>
      <c r="F64" s="76">
        <v>14761</v>
      </c>
      <c r="G64" s="76">
        <v>14761</v>
      </c>
      <c r="H64" s="76">
        <v>14760</v>
      </c>
      <c r="I64" s="76">
        <v>14760</v>
      </c>
      <c r="J64" s="502">
        <v>-2492</v>
      </c>
      <c r="K64" s="76">
        <v>0</v>
      </c>
      <c r="L64" s="76">
        <v>-5628</v>
      </c>
      <c r="M64" s="401"/>
      <c r="N64" s="22"/>
    </row>
    <row r="65" spans="1:14" ht="15.75" customHeight="1">
      <c r="A65" s="2"/>
      <c r="B65" s="84" t="s">
        <v>204</v>
      </c>
      <c r="C65" s="84" t="s">
        <v>1151</v>
      </c>
      <c r="D65" s="76">
        <v>1000</v>
      </c>
      <c r="E65" s="76">
        <v>1000</v>
      </c>
      <c r="F65" s="76">
        <v>1200</v>
      </c>
      <c r="G65" s="76">
        <v>1200</v>
      </c>
      <c r="H65" s="76">
        <v>1200</v>
      </c>
      <c r="I65" s="76">
        <v>1200</v>
      </c>
      <c r="J65" s="502">
        <v>1047.4000000000001</v>
      </c>
      <c r="K65" s="76">
        <v>998.39999999999986</v>
      </c>
      <c r="L65" s="76">
        <v>748.8</v>
      </c>
      <c r="M65" s="401"/>
      <c r="N65" s="22"/>
    </row>
    <row r="66" spans="1:14" ht="15.75" customHeight="1">
      <c r="A66" s="2"/>
      <c r="B66" s="84" t="s">
        <v>206</v>
      </c>
      <c r="C66" s="84" t="s">
        <v>1152</v>
      </c>
      <c r="D66" s="76">
        <v>100</v>
      </c>
      <c r="E66" s="76">
        <v>100</v>
      </c>
      <c r="F66" s="76">
        <v>700</v>
      </c>
      <c r="G66" s="76">
        <v>700</v>
      </c>
      <c r="H66" s="76">
        <v>700</v>
      </c>
      <c r="I66" s="76">
        <v>700</v>
      </c>
      <c r="J66" s="502">
        <v>821.28</v>
      </c>
      <c r="K66" s="76">
        <v>30.42</v>
      </c>
      <c r="L66" s="76">
        <v>25.06</v>
      </c>
      <c r="M66" s="401"/>
      <c r="N66" s="22"/>
    </row>
    <row r="67" spans="1:14" ht="15.75" customHeight="1">
      <c r="A67" s="2"/>
      <c r="B67" s="84" t="s">
        <v>208</v>
      </c>
      <c r="C67" s="84" t="s">
        <v>1153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5</v>
      </c>
      <c r="J67" s="502"/>
      <c r="K67" s="76">
        <v>0</v>
      </c>
      <c r="L67" s="76">
        <v>0</v>
      </c>
      <c r="M67" s="401"/>
      <c r="N67" s="22"/>
    </row>
    <row r="68" spans="1:14" ht="15.75" customHeight="1">
      <c r="A68" s="2"/>
      <c r="B68" s="84" t="s">
        <v>645</v>
      </c>
      <c r="C68" s="84" t="s">
        <v>1154</v>
      </c>
      <c r="D68" s="76">
        <v>1880</v>
      </c>
      <c r="E68" s="76">
        <v>1880</v>
      </c>
      <c r="F68" s="76">
        <v>0</v>
      </c>
      <c r="G68" s="76">
        <v>0</v>
      </c>
      <c r="H68" s="76">
        <v>0</v>
      </c>
      <c r="I68" s="84" t="s">
        <v>44</v>
      </c>
      <c r="J68" s="502">
        <v>-3922.49</v>
      </c>
      <c r="K68" s="76">
        <v>0</v>
      </c>
      <c r="L68" s="76">
        <v>0</v>
      </c>
      <c r="M68" s="401"/>
      <c r="N68" s="22"/>
    </row>
    <row r="69" spans="1:14" ht="15.75" customHeight="1">
      <c r="A69" s="2"/>
      <c r="B69" s="84" t="s">
        <v>169</v>
      </c>
      <c r="C69" s="84" t="s">
        <v>1155</v>
      </c>
      <c r="D69" s="76">
        <v>25</v>
      </c>
      <c r="E69" s="76">
        <v>25</v>
      </c>
      <c r="F69" s="76">
        <v>25</v>
      </c>
      <c r="G69" s="76">
        <v>25</v>
      </c>
      <c r="H69" s="76">
        <v>25</v>
      </c>
      <c r="I69" s="76">
        <v>25</v>
      </c>
      <c r="J69" s="502">
        <v>58.68</v>
      </c>
      <c r="K69" s="76">
        <v>14.7</v>
      </c>
      <c r="L69" s="76">
        <v>12</v>
      </c>
      <c r="M69" s="401"/>
      <c r="N69" s="22"/>
    </row>
    <row r="70" spans="1:14" ht="15.75" customHeight="1">
      <c r="A70" s="2"/>
      <c r="B70" s="84" t="s">
        <v>1156</v>
      </c>
      <c r="C70" s="84" t="s">
        <v>1157</v>
      </c>
      <c r="D70" s="76">
        <v>400</v>
      </c>
      <c r="E70" s="76">
        <v>400</v>
      </c>
      <c r="F70" s="76">
        <v>600</v>
      </c>
      <c r="G70" s="76">
        <v>600</v>
      </c>
      <c r="H70" s="76">
        <v>600</v>
      </c>
      <c r="I70" s="76">
        <v>600</v>
      </c>
      <c r="J70" s="502">
        <v>201.6</v>
      </c>
      <c r="K70" s="76">
        <v>419.65</v>
      </c>
      <c r="L70" s="76">
        <v>419.65</v>
      </c>
      <c r="M70" s="401"/>
      <c r="N70" s="22"/>
    </row>
    <row r="71" spans="1:14" ht="15.75" customHeight="1">
      <c r="A71" s="2"/>
      <c r="B71" s="84" t="s">
        <v>1158</v>
      </c>
      <c r="C71" s="84" t="s">
        <v>1159</v>
      </c>
      <c r="D71" s="76">
        <v>200</v>
      </c>
      <c r="E71" s="76">
        <v>200</v>
      </c>
      <c r="F71" s="76">
        <v>200</v>
      </c>
      <c r="G71" s="76">
        <v>200</v>
      </c>
      <c r="H71" s="76">
        <v>200</v>
      </c>
      <c r="I71" s="76">
        <v>200</v>
      </c>
      <c r="J71" s="502">
        <v>140.80000000000001</v>
      </c>
      <c r="K71" s="76">
        <v>221.5</v>
      </c>
      <c r="L71" s="76">
        <v>149.5</v>
      </c>
      <c r="M71" s="401"/>
      <c r="N71" s="22"/>
    </row>
    <row r="72" spans="1:14" ht="15.75" customHeight="1">
      <c r="A72" s="2"/>
      <c r="B72" s="84" t="s">
        <v>216</v>
      </c>
      <c r="C72" s="84" t="s">
        <v>1160</v>
      </c>
      <c r="D72" s="76">
        <v>200</v>
      </c>
      <c r="E72" s="76">
        <v>200</v>
      </c>
      <c r="F72" s="76">
        <v>200</v>
      </c>
      <c r="G72" s="76">
        <v>200</v>
      </c>
      <c r="H72" s="76">
        <v>200</v>
      </c>
      <c r="I72" s="76">
        <v>200</v>
      </c>
      <c r="J72" s="502">
        <v>125.3</v>
      </c>
      <c r="K72" s="76">
        <v>22.7</v>
      </c>
      <c r="L72" s="76">
        <v>0</v>
      </c>
      <c r="M72" s="401"/>
      <c r="N72" s="22"/>
    </row>
    <row r="73" spans="1:14" ht="15.75" customHeight="1">
      <c r="A73" s="2"/>
      <c r="B73" s="84" t="s">
        <v>218</v>
      </c>
      <c r="C73" s="84" t="s">
        <v>1161</v>
      </c>
      <c r="D73" s="76">
        <v>500</v>
      </c>
      <c r="E73" s="76">
        <v>500</v>
      </c>
      <c r="F73" s="76">
        <v>1200</v>
      </c>
      <c r="G73" s="76">
        <v>1200</v>
      </c>
      <c r="H73" s="76">
        <v>500</v>
      </c>
      <c r="I73" s="76">
        <v>500</v>
      </c>
      <c r="J73" s="502">
        <v>1614.67</v>
      </c>
      <c r="K73" s="76">
        <v>1097.9000000000001</v>
      </c>
      <c r="L73" s="76">
        <v>1058.95</v>
      </c>
      <c r="M73" s="401"/>
      <c r="N73" s="22"/>
    </row>
    <row r="74" spans="1:14" ht="15.75" customHeight="1">
      <c r="A74" s="2"/>
      <c r="B74" s="84" t="s">
        <v>1162</v>
      </c>
      <c r="C74" s="84" t="s">
        <v>1163</v>
      </c>
      <c r="D74" s="76"/>
      <c r="E74" s="76"/>
      <c r="F74" s="76">
        <v>1500</v>
      </c>
      <c r="G74" s="76">
        <v>1500</v>
      </c>
      <c r="H74" s="76">
        <v>1500</v>
      </c>
      <c r="I74" s="76">
        <v>1500</v>
      </c>
      <c r="J74" s="502"/>
      <c r="K74" s="76">
        <v>0</v>
      </c>
      <c r="L74" s="76">
        <v>0</v>
      </c>
      <c r="M74" s="401"/>
      <c r="N74" s="22"/>
    </row>
    <row r="75" spans="1:14" ht="15.75" customHeight="1">
      <c r="A75" s="2"/>
      <c r="B75" s="84" t="s">
        <v>177</v>
      </c>
      <c r="C75" s="84" t="s">
        <v>1164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238"/>
      <c r="J75" s="502">
        <v>-7737.9</v>
      </c>
      <c r="K75" s="76">
        <v>0</v>
      </c>
      <c r="L75" s="76">
        <v>-7737.9</v>
      </c>
      <c r="M75" s="421"/>
      <c r="N75" s="19"/>
    </row>
    <row r="76" spans="1:14" ht="15.75" customHeight="1">
      <c r="A76" s="19"/>
      <c r="B76" s="422" t="s">
        <v>734</v>
      </c>
      <c r="C76" s="423"/>
      <c r="D76" s="76"/>
      <c r="E76" s="76"/>
      <c r="F76" s="76"/>
      <c r="G76" s="76"/>
      <c r="H76" s="83"/>
      <c r="I76" s="424"/>
      <c r="J76" s="502"/>
      <c r="K76" s="83"/>
      <c r="L76" s="74"/>
      <c r="M76" s="425"/>
      <c r="N76" s="19"/>
    </row>
    <row r="77" spans="1:14" ht="15.75" customHeight="1">
      <c r="A77" s="19"/>
      <c r="B77" s="107" t="s">
        <v>743</v>
      </c>
      <c r="C77" s="349" t="s">
        <v>1165</v>
      </c>
      <c r="D77" s="120">
        <v>-2000</v>
      </c>
      <c r="E77" s="120">
        <v>-2000</v>
      </c>
      <c r="F77" s="120"/>
      <c r="G77" s="120"/>
      <c r="H77" s="186"/>
      <c r="I77" s="426"/>
      <c r="J77" s="503">
        <v>-6620</v>
      </c>
      <c r="K77" s="186"/>
      <c r="L77" s="89"/>
      <c r="M77" s="425"/>
      <c r="N77" s="290"/>
    </row>
    <row r="78" spans="1:14" ht="15.75" customHeight="1">
      <c r="A78" s="2"/>
      <c r="B78" s="239"/>
      <c r="C78" s="54" t="s">
        <v>197</v>
      </c>
      <c r="D78" s="240">
        <f t="shared" ref="D78" si="6">SUM(D62:D75)</f>
        <v>88141</v>
      </c>
      <c r="E78" s="240">
        <f t="shared" ref="E78:J78" si="7">SUM(E62:E75)</f>
        <v>88141</v>
      </c>
      <c r="F78" s="240">
        <f t="shared" si="7"/>
        <v>82019</v>
      </c>
      <c r="G78" s="41">
        <f t="shared" si="7"/>
        <v>82019</v>
      </c>
      <c r="H78" s="41">
        <f t="shared" si="7"/>
        <v>81318</v>
      </c>
      <c r="I78" s="41">
        <f t="shared" si="7"/>
        <v>81323.179999999993</v>
      </c>
      <c r="J78" s="512">
        <f t="shared" si="7"/>
        <v>98318.55</v>
      </c>
      <c r="K78" s="41">
        <v>95845.02999999997</v>
      </c>
      <c r="L78" s="41">
        <f>SUM(L62:L75)</f>
        <v>68757.679999999993</v>
      </c>
      <c r="M78" s="337"/>
      <c r="N78" s="22"/>
    </row>
    <row r="79" spans="1:14" ht="15.75" customHeight="1">
      <c r="A79" s="2"/>
      <c r="B79" s="236"/>
      <c r="C79" s="258"/>
      <c r="D79" s="427"/>
      <c r="E79" s="427"/>
      <c r="F79" s="319"/>
      <c r="G79" s="428"/>
      <c r="H79" s="429"/>
      <c r="I79" s="430"/>
      <c r="J79" s="539"/>
      <c r="K79" s="68"/>
      <c r="L79" s="310"/>
      <c r="M79" s="310"/>
      <c r="N79" s="22"/>
    </row>
    <row r="80" spans="1:14" ht="15.75" customHeight="1">
      <c r="A80" s="2"/>
      <c r="B80" s="7"/>
      <c r="C80" s="254"/>
      <c r="D80" s="294"/>
      <c r="E80" s="294"/>
      <c r="F80" s="294"/>
      <c r="G80" s="21"/>
      <c r="H80" s="21"/>
      <c r="I80" s="21"/>
      <c r="J80" s="527"/>
      <c r="K80" s="21"/>
      <c r="L80" s="21"/>
      <c r="M80" s="431"/>
      <c r="N80" s="22"/>
    </row>
    <row r="81" spans="1:14" ht="15.75" customHeight="1">
      <c r="A81" s="2"/>
      <c r="B81" s="7"/>
      <c r="C81" s="252" t="s">
        <v>1166</v>
      </c>
      <c r="D81" s="294">
        <f>D21+D49</f>
        <v>278874</v>
      </c>
      <c r="E81" s="294">
        <f>E21+E49</f>
        <v>278874</v>
      </c>
      <c r="F81" s="294">
        <f>F21+F49</f>
        <v>244933</v>
      </c>
      <c r="G81" s="21">
        <f>G21</f>
        <v>259933</v>
      </c>
      <c r="H81" s="21">
        <f>H21</f>
        <v>138605</v>
      </c>
      <c r="I81" s="21">
        <v>242425</v>
      </c>
      <c r="J81" s="527">
        <f>J21+J49</f>
        <v>199775.12999999995</v>
      </c>
      <c r="K81" s="21">
        <v>112086.47</v>
      </c>
      <c r="L81" s="21">
        <f>L21</f>
        <v>84870.2</v>
      </c>
      <c r="M81" s="21">
        <v>138469.6</v>
      </c>
      <c r="N81" s="22"/>
    </row>
    <row r="82" spans="1:14" ht="15.75" customHeight="1">
      <c r="A82" s="2"/>
      <c r="B82" s="7"/>
      <c r="C82" s="252" t="s">
        <v>1167</v>
      </c>
      <c r="D82" s="294">
        <f>D49</f>
        <v>0</v>
      </c>
      <c r="E82" s="294">
        <f>E49</f>
        <v>0</v>
      </c>
      <c r="F82" s="294">
        <f>F49</f>
        <v>0</v>
      </c>
      <c r="G82" s="21">
        <v>0</v>
      </c>
      <c r="H82" s="21">
        <f>H49</f>
        <v>134040</v>
      </c>
      <c r="I82" s="134"/>
      <c r="J82" s="527">
        <f>J49</f>
        <v>35248.799999999996</v>
      </c>
      <c r="K82" s="21">
        <v>48017.5</v>
      </c>
      <c r="L82" s="21">
        <f>L49</f>
        <v>40531.46</v>
      </c>
      <c r="M82" s="431"/>
      <c r="N82" s="22"/>
    </row>
    <row r="83" spans="1:14" ht="15.75" customHeight="1">
      <c r="A83" s="2"/>
      <c r="B83" s="7"/>
      <c r="C83" s="252" t="s">
        <v>48</v>
      </c>
      <c r="D83" s="294">
        <f>D60</f>
        <v>84566.47</v>
      </c>
      <c r="E83" s="294">
        <f>E60</f>
        <v>84566.47</v>
      </c>
      <c r="F83" s="294">
        <f>F60</f>
        <v>71432</v>
      </c>
      <c r="G83" s="21">
        <f>G60</f>
        <v>82502</v>
      </c>
      <c r="H83" s="21">
        <f>H60</f>
        <v>79491</v>
      </c>
      <c r="I83" s="21">
        <v>77460</v>
      </c>
      <c r="J83" s="527">
        <f>J60</f>
        <v>56071.549999999988</v>
      </c>
      <c r="K83" s="21">
        <v>62132.180000000008</v>
      </c>
      <c r="L83" s="21">
        <f>L60</f>
        <v>58617.069999999992</v>
      </c>
      <c r="M83" s="431"/>
      <c r="N83" s="22"/>
    </row>
    <row r="84" spans="1:14" ht="15.75" customHeight="1">
      <c r="A84" s="2"/>
      <c r="B84" s="7"/>
      <c r="C84" s="295" t="s">
        <v>1168</v>
      </c>
      <c r="D84" s="296">
        <f>D78</f>
        <v>88141</v>
      </c>
      <c r="E84" s="296">
        <f>E78</f>
        <v>88141</v>
      </c>
      <c r="F84" s="296">
        <f>F78</f>
        <v>82019</v>
      </c>
      <c r="G84" s="30">
        <f>G78</f>
        <v>82019</v>
      </c>
      <c r="H84" s="30">
        <f>H78</f>
        <v>81318</v>
      </c>
      <c r="I84" s="30">
        <v>81323.179999999993</v>
      </c>
      <c r="J84" s="536">
        <f>J78</f>
        <v>98318.55</v>
      </c>
      <c r="K84" s="30">
        <v>95845.030000000013</v>
      </c>
      <c r="L84" s="30">
        <f>L78</f>
        <v>68757.679999999993</v>
      </c>
      <c r="M84" s="432"/>
      <c r="N84" s="22"/>
    </row>
    <row r="85" spans="1:14" ht="15.75" customHeight="1">
      <c r="A85" s="2"/>
      <c r="B85" s="287"/>
      <c r="C85" s="54" t="s">
        <v>1169</v>
      </c>
      <c r="D85" s="240">
        <f>SUM(D79:D84)</f>
        <v>451581.47</v>
      </c>
      <c r="E85" s="240">
        <f>SUM(E79:E84)</f>
        <v>451581.47</v>
      </c>
      <c r="F85" s="240">
        <f>SUM(F79:F84)</f>
        <v>398384</v>
      </c>
      <c r="G85" s="41">
        <f>SUM(G79:G84)</f>
        <v>424454</v>
      </c>
      <c r="H85" s="41">
        <f>SUM(H80:H84)</f>
        <v>433454</v>
      </c>
      <c r="I85" s="41">
        <f>SUM(I80:I84)</f>
        <v>401208.18</v>
      </c>
      <c r="J85" s="512">
        <f>SUM(J79:J84)</f>
        <v>389414.02999999991</v>
      </c>
      <c r="K85" s="41">
        <v>628246.09</v>
      </c>
      <c r="L85" s="41">
        <f>SUM(L80:L84)</f>
        <v>252776.40999999997</v>
      </c>
      <c r="M85" s="337"/>
      <c r="N85" s="22"/>
    </row>
    <row r="86" spans="1:14" ht="15.75" customHeight="1">
      <c r="A86" s="19"/>
      <c r="B86" s="3"/>
      <c r="C86" s="3"/>
      <c r="D86" s="435"/>
      <c r="E86" s="3"/>
      <c r="F86" s="3"/>
      <c r="G86" s="3"/>
      <c r="H86" s="3"/>
      <c r="I86" s="3"/>
      <c r="J86" s="530"/>
      <c r="K86" s="65"/>
      <c r="L86" s="3"/>
      <c r="M86" s="3"/>
      <c r="N86" s="19"/>
    </row>
  </sheetData>
  <mergeCells count="1">
    <mergeCell ref="B1:M1"/>
  </mergeCells>
  <pageMargins left="0.7" right="0.7" top="0.75" bottom="0.75" header="0" footer="0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Revenues</vt:lpstr>
      <vt:lpstr>Executive Committee</vt:lpstr>
      <vt:lpstr>Student Government</vt:lpstr>
      <vt:lpstr>Student Services</vt:lpstr>
      <vt:lpstr>AMS Events</vt:lpstr>
      <vt:lpstr>Ancillary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Managingdirector</dc:creator>
  <cp:lastModifiedBy>Managing Director</cp:lastModifiedBy>
  <dcterms:created xsi:type="dcterms:W3CDTF">2019-06-27T01:02:09Z</dcterms:created>
  <dcterms:modified xsi:type="dcterms:W3CDTF">2020-02-21T23:01:03Z</dcterms:modified>
</cp:coreProperties>
</file>