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updateLinks="always"/>
  <mc:AlternateContent xmlns:mc="http://schemas.openxmlformats.org/markup-compatibility/2006">
    <mc:Choice Requires="x15">
      <x15ac:absPath xmlns:x15ac="http://schemas.microsoft.com/office/spreadsheetml/2010/11/ac" url="https://amsubc-my.sharepoint.com/personal/justinlieu_ams_ubc_ca/Documents/Managing Director/Finance and Admin/Budgets 2025-26 - Confidential/"/>
    </mc:Choice>
  </mc:AlternateContent>
  <xr:revisionPtr revIDLastSave="2020" documentId="11_E7D2CE090C2B6A10B0E9D352FD594D8D43147B8F" xr6:coauthVersionLast="47" xr6:coauthVersionMax="47" xr10:uidLastSave="{49805C38-3FAA-4D9E-BBDC-358A7878415B}"/>
  <bookViews>
    <workbookView xWindow="0" yWindow="740" windowWidth="29400" windowHeight="17260" activeTab="2" xr2:uid="{00000000-000D-0000-FFFF-FFFF00000000}"/>
  </bookViews>
  <sheets>
    <sheet name="Summary" sheetId="8" r:id="rId1"/>
    <sheet name="Student Fees" sheetId="6" r:id="rId2"/>
    <sheet name="Executives" sheetId="4" r:id="rId3"/>
    <sheet name="Student Council" sheetId="9" r:id="rId4"/>
    <sheet name="Student Services" sheetId="3" r:id="rId5"/>
    <sheet name="AMS Events" sheetId="12" r:id="rId6"/>
    <sheet name="Ancillary Services" sheetId="2" r:id="rId7"/>
    <sheet name="Business Contribution Breakdown" sheetId="11" r:id="rId8"/>
    <sheet name="Internal Notes" sheetId="13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3" i="4" l="1"/>
  <c r="C57" i="4"/>
  <c r="D57" i="4"/>
  <c r="D80" i="4"/>
  <c r="D66" i="4"/>
  <c r="D95" i="4" s="1"/>
  <c r="C19" i="6"/>
  <c r="I19" i="6"/>
  <c r="D45" i="9"/>
  <c r="D164" i="4"/>
  <c r="D138" i="4"/>
  <c r="D26" i="4"/>
  <c r="D197" i="4"/>
  <c r="C298" i="3"/>
  <c r="C296" i="3"/>
  <c r="D298" i="3"/>
  <c r="D242" i="3"/>
  <c r="D186" i="3"/>
  <c r="C152" i="3"/>
  <c r="C118" i="9"/>
  <c r="C80" i="4"/>
  <c r="C64" i="9"/>
  <c r="B31" i="11"/>
  <c r="C115" i="9"/>
  <c r="C113" i="9"/>
  <c r="E115" i="9"/>
  <c r="E113" i="9"/>
  <c r="C147" i="4"/>
  <c r="C104" i="4"/>
  <c r="C66" i="4"/>
  <c r="C26" i="4"/>
  <c r="B27" i="6"/>
  <c r="B24" i="6"/>
  <c r="B23" i="6"/>
  <c r="B22" i="6"/>
  <c r="B18" i="6"/>
  <c r="B14" i="6"/>
  <c r="B13" i="6"/>
  <c r="B12" i="6"/>
  <c r="B11" i="6"/>
  <c r="B10" i="6"/>
  <c r="B9" i="6"/>
  <c r="B8" i="6"/>
  <c r="B7" i="6"/>
  <c r="B6" i="6"/>
  <c r="B5" i="6"/>
  <c r="B4" i="6"/>
  <c r="B20" i="6"/>
  <c r="C190" i="4"/>
  <c r="C196" i="4"/>
  <c r="M9" i="8" s="1"/>
  <c r="C164" i="4"/>
  <c r="I190" i="4"/>
  <c r="H190" i="4"/>
  <c r="E190" i="4"/>
  <c r="F190" i="4"/>
  <c r="C144" i="9"/>
  <c r="C110" i="9"/>
  <c r="C147" i="9" s="1"/>
  <c r="M14" i="8" s="1"/>
  <c r="C95" i="9"/>
  <c r="C146" i="9" s="1"/>
  <c r="M13" i="8" s="1"/>
  <c r="C45" i="9"/>
  <c r="C145" i="9" s="1"/>
  <c r="M12" i="8" s="1"/>
  <c r="C195" i="4"/>
  <c r="M8" i="8" s="1"/>
  <c r="C138" i="4"/>
  <c r="C194" i="4" s="1"/>
  <c r="M7" i="8" s="1"/>
  <c r="C95" i="4"/>
  <c r="C193" i="4" s="1"/>
  <c r="C192" i="4"/>
  <c r="M5" i="8" s="1"/>
  <c r="C191" i="4"/>
  <c r="D176" i="3"/>
  <c r="D284" i="3"/>
  <c r="D292" i="3" s="1"/>
  <c r="D268" i="3"/>
  <c r="D291" i="3" s="1"/>
  <c r="D290" i="3"/>
  <c r="D213" i="3"/>
  <c r="D289" i="3" s="1"/>
  <c r="D288" i="3"/>
  <c r="D152" i="3"/>
  <c r="D134" i="3"/>
  <c r="D113" i="3"/>
  <c r="D91" i="3"/>
  <c r="D31" i="3"/>
  <c r="D285" i="3" s="1"/>
  <c r="B28" i="6"/>
  <c r="C21" i="6"/>
  <c r="C20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22" i="6"/>
  <c r="C23" i="6"/>
  <c r="C24" i="6"/>
  <c r="C25" i="6"/>
  <c r="C26" i="6"/>
  <c r="C27" i="6"/>
  <c r="C4" i="6"/>
  <c r="B4" i="8" s="1"/>
  <c r="B16" i="6"/>
  <c r="B15" i="6"/>
  <c r="B21" i="6"/>
  <c r="B17" i="6"/>
  <c r="D13" i="12"/>
  <c r="D55" i="12"/>
  <c r="N32" i="8"/>
  <c r="N33" i="8"/>
  <c r="N34" i="8"/>
  <c r="N39" i="8"/>
  <c r="N40" i="8"/>
  <c r="N37" i="8"/>
  <c r="D89" i="2"/>
  <c r="D91" i="2"/>
  <c r="D92" i="2"/>
  <c r="D88" i="2"/>
  <c r="D64" i="2"/>
  <c r="D90" i="2" s="1"/>
  <c r="D43" i="2"/>
  <c r="D26" i="2"/>
  <c r="D3" i="12"/>
  <c r="D120" i="12"/>
  <c r="D150" i="12"/>
  <c r="D151" i="12"/>
  <c r="D152" i="12"/>
  <c r="D126" i="12"/>
  <c r="D122" i="12"/>
  <c r="D148" i="12" s="1"/>
  <c r="D87" i="12"/>
  <c r="D92" i="12"/>
  <c r="C88" i="2"/>
  <c r="M45" i="8"/>
  <c r="M44" i="8"/>
  <c r="M43" i="8"/>
  <c r="M46" i="8" s="1"/>
  <c r="C134" i="3"/>
  <c r="C113" i="3"/>
  <c r="C91" i="3"/>
  <c r="C153" i="3" s="1"/>
  <c r="C213" i="3"/>
  <c r="C242" i="3"/>
  <c r="C13" i="12"/>
  <c r="C3" i="12"/>
  <c r="C55" i="12"/>
  <c r="C57" i="12"/>
  <c r="E57" i="12"/>
  <c r="C149" i="12"/>
  <c r="M31" i="8" s="1"/>
  <c r="C150" i="12"/>
  <c r="C92" i="12"/>
  <c r="C87" i="12"/>
  <c r="C122" i="12"/>
  <c r="C126" i="12"/>
  <c r="C148" i="12"/>
  <c r="C152" i="12" s="1"/>
  <c r="M34" i="8" s="1"/>
  <c r="C287" i="3"/>
  <c r="C289" i="3"/>
  <c r="M22" i="8" s="1"/>
  <c r="C290" i="3"/>
  <c r="M23" i="8" s="1"/>
  <c r="C31" i="3"/>
  <c r="C285" i="3" s="1"/>
  <c r="M18" i="8" s="1"/>
  <c r="C186" i="3"/>
  <c r="C288" i="3" s="1"/>
  <c r="M21" i="8" s="1"/>
  <c r="C268" i="3"/>
  <c r="C291" i="3" s="1"/>
  <c r="M27" i="8" s="1"/>
  <c r="C284" i="3"/>
  <c r="C292" i="3" s="1"/>
  <c r="M28" i="8" s="1"/>
  <c r="C43" i="2"/>
  <c r="E43" i="2"/>
  <c r="D22" i="11"/>
  <c r="B22" i="11"/>
  <c r="C64" i="2"/>
  <c r="C26" i="2"/>
  <c r="B25" i="11"/>
  <c r="B41" i="11"/>
  <c r="B42" i="11"/>
  <c r="B27" i="11"/>
  <c r="B28" i="11"/>
  <c r="B33" i="11"/>
  <c r="C297" i="3"/>
  <c r="B25" i="8"/>
  <c r="B62" i="8" s="1"/>
  <c r="B19" i="8"/>
  <c r="B38" i="8" s="1"/>
  <c r="N49" i="8"/>
  <c r="N48" i="8"/>
  <c r="N46" i="8"/>
  <c r="N29" i="8"/>
  <c r="N10" i="8"/>
  <c r="C22" i="11"/>
  <c r="C41" i="11"/>
  <c r="C42" i="11" s="1"/>
  <c r="C33" i="11"/>
  <c r="C27" i="11"/>
  <c r="C25" i="11"/>
  <c r="C38" i="8"/>
  <c r="C27" i="8"/>
  <c r="C62" i="8"/>
  <c r="C58" i="8"/>
  <c r="C56" i="8"/>
  <c r="C55" i="8"/>
  <c r="C54" i="8"/>
  <c r="C45" i="8"/>
  <c r="C44" i="8"/>
  <c r="C43" i="8"/>
  <c r="C42" i="8"/>
  <c r="C39" i="8"/>
  <c r="C67" i="8"/>
  <c r="C52" i="8"/>
  <c r="C57" i="8"/>
  <c r="C49" i="8"/>
  <c r="C51" i="8"/>
  <c r="C53" i="8"/>
  <c r="C65" i="8"/>
  <c r="C47" i="8"/>
  <c r="C48" i="8"/>
  <c r="C41" i="8"/>
  <c r="C119" i="9" l="1"/>
  <c r="C133" i="9" s="1"/>
  <c r="C148" i="9" s="1"/>
  <c r="M15" i="8" s="1"/>
  <c r="M6" i="8"/>
  <c r="C197" i="4"/>
  <c r="M4" i="8"/>
  <c r="M10" i="8" s="1"/>
  <c r="B35" i="11"/>
  <c r="B29" i="8" s="1"/>
  <c r="B35" i="8" s="1"/>
  <c r="D153" i="3"/>
  <c r="D287" i="3" s="1"/>
  <c r="N38" i="8"/>
  <c r="N41" i="8" s="1"/>
  <c r="D93" i="2"/>
  <c r="D149" i="12"/>
  <c r="M29" i="8"/>
  <c r="C120" i="12"/>
  <c r="C151" i="12" s="1"/>
  <c r="M37" i="8"/>
  <c r="C89" i="2"/>
  <c r="M38" i="8"/>
  <c r="C90" i="2"/>
  <c r="M39" i="8"/>
  <c r="C91" i="2"/>
  <c r="C92" i="2"/>
  <c r="C93" i="2" s="1"/>
  <c r="M40" i="8"/>
  <c r="M41" i="8" s="1"/>
  <c r="C293" i="3"/>
  <c r="B43" i="11"/>
  <c r="N16" i="8"/>
  <c r="N50" i="8"/>
  <c r="C28" i="11"/>
  <c r="C35" i="11" s="1"/>
  <c r="C29" i="8" s="1"/>
  <c r="C68" i="8"/>
  <c r="C63" i="8"/>
  <c r="E31" i="3"/>
  <c r="I41" i="11"/>
  <c r="I42" i="11" s="1"/>
  <c r="H41" i="11"/>
  <c r="H42" i="11" s="1"/>
  <c r="G41" i="11"/>
  <c r="G42" i="11" s="1"/>
  <c r="F41" i="11"/>
  <c r="F42" i="11" s="1"/>
  <c r="E41" i="11"/>
  <c r="E42" i="11" s="1"/>
  <c r="D41" i="11"/>
  <c r="D42" i="11" s="1"/>
  <c r="J40" i="11"/>
  <c r="J39" i="11"/>
  <c r="J38" i="11"/>
  <c r="J41" i="11" s="1"/>
  <c r="J42" i="11" s="1"/>
  <c r="J43" i="11" s="1"/>
  <c r="I33" i="11"/>
  <c r="H33" i="11"/>
  <c r="G33" i="11"/>
  <c r="F33" i="11"/>
  <c r="E33" i="11"/>
  <c r="D33" i="11"/>
  <c r="J27" i="11"/>
  <c r="I27" i="11"/>
  <c r="H27" i="11"/>
  <c r="G27" i="11"/>
  <c r="F27" i="11"/>
  <c r="E27" i="11"/>
  <c r="D27" i="11"/>
  <c r="I25" i="11"/>
  <c r="H25" i="11"/>
  <c r="G25" i="11"/>
  <c r="F25" i="11"/>
  <c r="E25" i="11"/>
  <c r="D25" i="11"/>
  <c r="J22" i="11"/>
  <c r="J28" i="11" s="1"/>
  <c r="I22" i="11"/>
  <c r="I28" i="11" s="1"/>
  <c r="H22" i="11"/>
  <c r="H28" i="11" s="1"/>
  <c r="H35" i="11" s="1"/>
  <c r="H43" i="11" s="1"/>
  <c r="G22" i="11"/>
  <c r="G28" i="11" s="1"/>
  <c r="G35" i="11" s="1"/>
  <c r="G43" i="11" s="1"/>
  <c r="F22" i="11"/>
  <c r="F28" i="11" s="1"/>
  <c r="F35" i="11" s="1"/>
  <c r="F43" i="11" s="1"/>
  <c r="E22" i="11"/>
  <c r="E28" i="11" s="1"/>
  <c r="E35" i="11" s="1"/>
  <c r="E43" i="11" s="1"/>
  <c r="D28" i="11"/>
  <c r="D35" i="11" s="1"/>
  <c r="D43" i="11" s="1"/>
  <c r="I92" i="2"/>
  <c r="E91" i="2"/>
  <c r="H88" i="2"/>
  <c r="H92" i="2" s="1"/>
  <c r="G88" i="2"/>
  <c r="G92" i="2" s="1"/>
  <c r="F88" i="2"/>
  <c r="F92" i="2" s="1"/>
  <c r="E88" i="2"/>
  <c r="E92" i="2" s="1"/>
  <c r="H64" i="2"/>
  <c r="H90" i="2" s="1"/>
  <c r="G64" i="2"/>
  <c r="G90" i="2" s="1"/>
  <c r="F64" i="2"/>
  <c r="F90" i="2" s="1"/>
  <c r="E64" i="2"/>
  <c r="E90" i="2" s="1"/>
  <c r="I59" i="2"/>
  <c r="I64" i="2" s="1"/>
  <c r="H43" i="2"/>
  <c r="H91" i="2" s="1"/>
  <c r="G43" i="2"/>
  <c r="G91" i="2" s="1"/>
  <c r="F43" i="2"/>
  <c r="F91" i="2" s="1"/>
  <c r="I41" i="2"/>
  <c r="I43" i="2" s="1"/>
  <c r="I91" i="2" s="1"/>
  <c r="I26" i="2"/>
  <c r="I89" i="2" s="1"/>
  <c r="I93" i="2" s="1"/>
  <c r="H26" i="2"/>
  <c r="H89" i="2" s="1"/>
  <c r="H93" i="2" s="1"/>
  <c r="G26" i="2"/>
  <c r="G89" i="2" s="1"/>
  <c r="G93" i="2" s="1"/>
  <c r="F26" i="2"/>
  <c r="F89" i="2" s="1"/>
  <c r="F93" i="2" s="1"/>
  <c r="E26" i="2"/>
  <c r="E89" i="2" s="1"/>
  <c r="E150" i="12"/>
  <c r="G146" i="12"/>
  <c r="I126" i="12"/>
  <c r="H126" i="12"/>
  <c r="G126" i="12"/>
  <c r="F126" i="12"/>
  <c r="E126" i="12"/>
  <c r="I122" i="12"/>
  <c r="H122" i="12"/>
  <c r="G122" i="12"/>
  <c r="F122" i="12"/>
  <c r="E122" i="12"/>
  <c r="I92" i="12"/>
  <c r="H92" i="12"/>
  <c r="G92" i="12"/>
  <c r="F92" i="12"/>
  <c r="E92" i="12"/>
  <c r="I87" i="12"/>
  <c r="H87" i="12"/>
  <c r="G87" i="12"/>
  <c r="F87" i="12"/>
  <c r="E87" i="12"/>
  <c r="H74" i="12"/>
  <c r="I61" i="12"/>
  <c r="H61" i="12"/>
  <c r="G61" i="12"/>
  <c r="F61" i="12"/>
  <c r="G59" i="12"/>
  <c r="I57" i="12"/>
  <c r="H57" i="12"/>
  <c r="G57" i="12"/>
  <c r="F57" i="12"/>
  <c r="G20" i="12"/>
  <c r="F20" i="12"/>
  <c r="E20" i="12"/>
  <c r="G17" i="12"/>
  <c r="G15" i="12"/>
  <c r="G14" i="12"/>
  <c r="I13" i="12"/>
  <c r="H13" i="12"/>
  <c r="G13" i="12"/>
  <c r="F13" i="12"/>
  <c r="E13" i="12"/>
  <c r="F11" i="12"/>
  <c r="E11" i="12"/>
  <c r="I3" i="12"/>
  <c r="H3" i="12"/>
  <c r="G3" i="12"/>
  <c r="F3" i="12"/>
  <c r="E3" i="12"/>
  <c r="E285" i="3"/>
  <c r="I284" i="3"/>
  <c r="I292" i="3" s="1"/>
  <c r="H284" i="3"/>
  <c r="H292" i="3" s="1"/>
  <c r="F284" i="3"/>
  <c r="F292" i="3" s="1"/>
  <c r="E284" i="3"/>
  <c r="E292" i="3" s="1"/>
  <c r="G270" i="3"/>
  <c r="G284" i="3" s="1"/>
  <c r="G292" i="3" s="1"/>
  <c r="I268" i="3"/>
  <c r="I291" i="3" s="1"/>
  <c r="H268" i="3"/>
  <c r="H291" i="3" s="1"/>
  <c r="G268" i="3"/>
  <c r="G291" i="3" s="1"/>
  <c r="F268" i="3"/>
  <c r="F291" i="3" s="1"/>
  <c r="E268" i="3"/>
  <c r="E291" i="3" s="1"/>
  <c r="I242" i="3"/>
  <c r="I290" i="3" s="1"/>
  <c r="H242" i="3"/>
  <c r="H290" i="3" s="1"/>
  <c r="G242" i="3"/>
  <c r="G290" i="3" s="1"/>
  <c r="F242" i="3"/>
  <c r="F290" i="3" s="1"/>
  <c r="E242" i="3"/>
  <c r="E290" i="3" s="1"/>
  <c r="I213" i="3"/>
  <c r="I289" i="3" s="1"/>
  <c r="H213" i="3"/>
  <c r="H289" i="3" s="1"/>
  <c r="G213" i="3"/>
  <c r="G289" i="3" s="1"/>
  <c r="F213" i="3"/>
  <c r="F289" i="3" s="1"/>
  <c r="E213" i="3"/>
  <c r="E289" i="3" s="1"/>
  <c r="I186" i="3"/>
  <c r="I288" i="3" s="1"/>
  <c r="H186" i="3"/>
  <c r="H288" i="3" s="1"/>
  <c r="G184" i="3"/>
  <c r="G186" i="3" s="1"/>
  <c r="G288" i="3" s="1"/>
  <c r="F184" i="3"/>
  <c r="F186" i="3" s="1"/>
  <c r="F288" i="3" s="1"/>
  <c r="E184" i="3"/>
  <c r="E176" i="3"/>
  <c r="I152" i="3"/>
  <c r="H152" i="3"/>
  <c r="G152" i="3"/>
  <c r="F152" i="3"/>
  <c r="E152" i="3"/>
  <c r="I134" i="3"/>
  <c r="H134" i="3"/>
  <c r="G134" i="3"/>
  <c r="F134" i="3"/>
  <c r="E134" i="3"/>
  <c r="I113" i="3"/>
  <c r="H113" i="3"/>
  <c r="G113" i="3"/>
  <c r="F113" i="3"/>
  <c r="E113" i="3"/>
  <c r="H91" i="3"/>
  <c r="G91" i="3"/>
  <c r="F91" i="3"/>
  <c r="E91" i="3"/>
  <c r="I91" i="3"/>
  <c r="I61" i="3"/>
  <c r="I286" i="3" s="1"/>
  <c r="I31" i="3"/>
  <c r="I285" i="3" s="1"/>
  <c r="H31" i="3"/>
  <c r="H285" i="3" s="1"/>
  <c r="G31" i="3"/>
  <c r="G285" i="3" s="1"/>
  <c r="F31" i="3"/>
  <c r="F285" i="3" s="1"/>
  <c r="H144" i="9"/>
  <c r="F144" i="9"/>
  <c r="E144" i="9"/>
  <c r="I136" i="9"/>
  <c r="I144" i="9" s="1"/>
  <c r="H133" i="9"/>
  <c r="I119" i="9"/>
  <c r="I133" i="9" s="1"/>
  <c r="I148" i="9" s="1"/>
  <c r="F118" i="9"/>
  <c r="E118" i="9"/>
  <c r="F117" i="9"/>
  <c r="E117" i="9"/>
  <c r="F115" i="9"/>
  <c r="F113" i="9"/>
  <c r="H110" i="9"/>
  <c r="H147" i="9" s="1"/>
  <c r="F110" i="9"/>
  <c r="F147" i="9" s="1"/>
  <c r="E110" i="9"/>
  <c r="E147" i="9" s="1"/>
  <c r="I98" i="9"/>
  <c r="I110" i="9" s="1"/>
  <c r="I147" i="9" s="1"/>
  <c r="I95" i="9"/>
  <c r="H95" i="9"/>
  <c r="F64" i="9"/>
  <c r="F95" i="9" s="1"/>
  <c r="F146" i="9" s="1"/>
  <c r="E64" i="9"/>
  <c r="E95" i="9" s="1"/>
  <c r="E146" i="9" s="1"/>
  <c r="I45" i="9"/>
  <c r="I145" i="9" s="1"/>
  <c r="H45" i="9"/>
  <c r="H145" i="9" s="1"/>
  <c r="F5" i="9"/>
  <c r="F45" i="9" s="1"/>
  <c r="F145" i="9" s="1"/>
  <c r="E5" i="9"/>
  <c r="E45" i="9" s="1"/>
  <c r="E145" i="9" s="1"/>
  <c r="I194" i="4"/>
  <c r="I193" i="4"/>
  <c r="I192" i="4"/>
  <c r="I191" i="4"/>
  <c r="I164" i="4"/>
  <c r="I195" i="4" s="1"/>
  <c r="H164" i="4"/>
  <c r="H195" i="4" s="1"/>
  <c r="E164" i="4"/>
  <c r="E195" i="4" s="1"/>
  <c r="F142" i="4"/>
  <c r="F141" i="4"/>
  <c r="F164" i="4" s="1"/>
  <c r="F195" i="4" s="1"/>
  <c r="H138" i="4"/>
  <c r="H194" i="4" s="1"/>
  <c r="E138" i="4"/>
  <c r="E194" i="4" s="1"/>
  <c r="F99" i="4"/>
  <c r="F98" i="4"/>
  <c r="F138" i="4" s="1"/>
  <c r="F194" i="4" s="1"/>
  <c r="H95" i="4"/>
  <c r="H193" i="4" s="1"/>
  <c r="E95" i="4"/>
  <c r="E193" i="4" s="1"/>
  <c r="F61" i="4"/>
  <c r="F60" i="4"/>
  <c r="F95" i="4" s="1"/>
  <c r="F193" i="4" s="1"/>
  <c r="H57" i="4"/>
  <c r="H192" i="4" s="1"/>
  <c r="F56" i="4"/>
  <c r="E56" i="4"/>
  <c r="E57" i="4" s="1"/>
  <c r="E192" i="4" s="1"/>
  <c r="F30" i="4"/>
  <c r="F29" i="4"/>
  <c r="F57" i="4" s="1"/>
  <c r="F192" i="4" s="1"/>
  <c r="H26" i="4"/>
  <c r="H191" i="4" s="1"/>
  <c r="H197" i="4" s="1"/>
  <c r="E26" i="4"/>
  <c r="E191" i="4" s="1"/>
  <c r="E197" i="4" s="1"/>
  <c r="F5" i="4"/>
  <c r="F4" i="4"/>
  <c r="F26" i="4" s="1"/>
  <c r="F191" i="4" s="1"/>
  <c r="F197" i="4" s="1"/>
  <c r="H28" i="6"/>
  <c r="F28" i="6"/>
  <c r="D28" i="6"/>
  <c r="I25" i="6"/>
  <c r="G25" i="6"/>
  <c r="E25" i="6"/>
  <c r="I24" i="6"/>
  <c r="G24" i="6"/>
  <c r="E24" i="6"/>
  <c r="I23" i="6"/>
  <c r="G23" i="6"/>
  <c r="E23" i="6"/>
  <c r="I22" i="6"/>
  <c r="G22" i="6"/>
  <c r="E22" i="6"/>
  <c r="I21" i="6"/>
  <c r="G21" i="6"/>
  <c r="E21" i="6"/>
  <c r="I20" i="6"/>
  <c r="G20" i="6"/>
  <c r="E20" i="6"/>
  <c r="G19" i="6"/>
  <c r="E19" i="6"/>
  <c r="I18" i="6"/>
  <c r="G18" i="6"/>
  <c r="E18" i="6"/>
  <c r="I17" i="6"/>
  <c r="G17" i="6"/>
  <c r="E17" i="6"/>
  <c r="I16" i="6"/>
  <c r="G16" i="6"/>
  <c r="E16" i="6"/>
  <c r="I15" i="6"/>
  <c r="G15" i="6"/>
  <c r="E15" i="6"/>
  <c r="I14" i="6"/>
  <c r="G14" i="6"/>
  <c r="E14" i="6"/>
  <c r="I13" i="6"/>
  <c r="G13" i="6"/>
  <c r="E13" i="6"/>
  <c r="I12" i="6"/>
  <c r="G12" i="6"/>
  <c r="E12" i="6"/>
  <c r="I11" i="6"/>
  <c r="G11" i="6"/>
  <c r="E11" i="6"/>
  <c r="I10" i="6"/>
  <c r="G10" i="6"/>
  <c r="E10" i="6"/>
  <c r="I9" i="6"/>
  <c r="G9" i="6"/>
  <c r="E9" i="6"/>
  <c r="I8" i="6"/>
  <c r="G8" i="6"/>
  <c r="E8" i="6"/>
  <c r="I7" i="6"/>
  <c r="G7" i="6"/>
  <c r="E7" i="6"/>
  <c r="I6" i="6"/>
  <c r="G6" i="6"/>
  <c r="E6" i="6"/>
  <c r="I5" i="6"/>
  <c r="G5" i="6"/>
  <c r="E5" i="6"/>
  <c r="I4" i="6"/>
  <c r="I28" i="6" s="1"/>
  <c r="G4" i="6"/>
  <c r="G28" i="6" s="1"/>
  <c r="E4" i="6"/>
  <c r="E28" i="6" s="1"/>
  <c r="J68" i="8"/>
  <c r="I68" i="8"/>
  <c r="E67" i="8"/>
  <c r="E68" i="8" s="1"/>
  <c r="H65" i="8"/>
  <c r="H68" i="8" s="1"/>
  <c r="G65" i="8"/>
  <c r="G68" i="8" s="1"/>
  <c r="J62" i="8"/>
  <c r="I62" i="8"/>
  <c r="H62" i="8"/>
  <c r="G62" i="8"/>
  <c r="E62" i="8"/>
  <c r="O60" i="8"/>
  <c r="J58" i="8"/>
  <c r="I58" i="8"/>
  <c r="H58" i="8"/>
  <c r="G58" i="8"/>
  <c r="E58" i="8"/>
  <c r="J57" i="8"/>
  <c r="I57" i="8"/>
  <c r="H57" i="8"/>
  <c r="G57" i="8"/>
  <c r="E57" i="8"/>
  <c r="J56" i="8"/>
  <c r="I56" i="8"/>
  <c r="H56" i="8"/>
  <c r="G56" i="8"/>
  <c r="E56" i="8"/>
  <c r="J55" i="8"/>
  <c r="I55" i="8"/>
  <c r="H55" i="8"/>
  <c r="G55" i="8"/>
  <c r="E55" i="8"/>
  <c r="J54" i="8"/>
  <c r="I54" i="8"/>
  <c r="H54" i="8"/>
  <c r="G54" i="8"/>
  <c r="E54" i="8"/>
  <c r="J53" i="8"/>
  <c r="I53" i="8"/>
  <c r="H53" i="8"/>
  <c r="G53" i="8"/>
  <c r="E53" i="8"/>
  <c r="J52" i="8"/>
  <c r="I52" i="8"/>
  <c r="H52" i="8"/>
  <c r="G52" i="8"/>
  <c r="E52" i="8"/>
  <c r="J51" i="8"/>
  <c r="I51" i="8"/>
  <c r="H51" i="8"/>
  <c r="G51" i="8"/>
  <c r="E51" i="8"/>
  <c r="U50" i="8"/>
  <c r="T50" i="8"/>
  <c r="R50" i="8"/>
  <c r="J49" i="8"/>
  <c r="I49" i="8"/>
  <c r="H49" i="8"/>
  <c r="G49" i="8"/>
  <c r="E49" i="8"/>
  <c r="AB48" i="8"/>
  <c r="J48" i="8"/>
  <c r="I48" i="8"/>
  <c r="H48" i="8"/>
  <c r="G48" i="8"/>
  <c r="E48" i="8"/>
  <c r="S48" i="8"/>
  <c r="S50" i="8" s="1"/>
  <c r="Q48" i="8"/>
  <c r="Q50" i="8" s="1"/>
  <c r="J47" i="8"/>
  <c r="I47" i="8"/>
  <c r="H47" i="8"/>
  <c r="G47" i="8"/>
  <c r="E47" i="8"/>
  <c r="T46" i="8"/>
  <c r="S46" i="8"/>
  <c r="R46" i="8"/>
  <c r="Q46" i="8"/>
  <c r="P46" i="8"/>
  <c r="O46" i="8"/>
  <c r="J45" i="8"/>
  <c r="I45" i="8"/>
  <c r="H45" i="8"/>
  <c r="G45" i="8"/>
  <c r="E45" i="8"/>
  <c r="J44" i="8"/>
  <c r="I44" i="8"/>
  <c r="H44" i="8"/>
  <c r="G44" i="8"/>
  <c r="E44" i="8"/>
  <c r="J43" i="8"/>
  <c r="I43" i="8"/>
  <c r="H43" i="8"/>
  <c r="G43" i="8"/>
  <c r="E43" i="8"/>
  <c r="J42" i="8"/>
  <c r="I42" i="8"/>
  <c r="H42" i="8"/>
  <c r="G42" i="8"/>
  <c r="E42" i="8"/>
  <c r="D42" i="8"/>
  <c r="J41" i="8"/>
  <c r="I41" i="8"/>
  <c r="G41" i="8"/>
  <c r="E41" i="8"/>
  <c r="T41" i="8"/>
  <c r="R41" i="8"/>
  <c r="Q41" i="8"/>
  <c r="S40" i="8"/>
  <c r="P40" i="8"/>
  <c r="O40" i="8"/>
  <c r="J39" i="8"/>
  <c r="I39" i="8"/>
  <c r="H39" i="8"/>
  <c r="G39" i="8"/>
  <c r="E39" i="8"/>
  <c r="S39" i="8"/>
  <c r="J38" i="8"/>
  <c r="I38" i="8"/>
  <c r="H38" i="8"/>
  <c r="G38" i="8"/>
  <c r="E38" i="8"/>
  <c r="S38" i="8"/>
  <c r="P38" i="8"/>
  <c r="O38" i="8"/>
  <c r="J37" i="8"/>
  <c r="I37" i="8"/>
  <c r="H37" i="8"/>
  <c r="G37" i="8"/>
  <c r="S37" i="8"/>
  <c r="P37" i="8"/>
  <c r="J35" i="8"/>
  <c r="I35" i="8"/>
  <c r="U35" i="8"/>
  <c r="T35" i="8"/>
  <c r="R35" i="8"/>
  <c r="Q35" i="8"/>
  <c r="H29" i="8"/>
  <c r="H35" i="8" s="1"/>
  <c r="G29" i="8"/>
  <c r="G35" i="8" s="1"/>
  <c r="F29" i="8"/>
  <c r="F35" i="8" s="1"/>
  <c r="E29" i="8"/>
  <c r="E35" i="8" s="1"/>
  <c r="D29" i="8"/>
  <c r="D35" i="8" s="1"/>
  <c r="U29" i="8"/>
  <c r="T29" i="8"/>
  <c r="R29" i="8"/>
  <c r="Q29" i="8"/>
  <c r="S28" i="8"/>
  <c r="P28" i="8"/>
  <c r="O28" i="8"/>
  <c r="J27" i="8"/>
  <c r="I27" i="8"/>
  <c r="G27" i="8"/>
  <c r="E27" i="8"/>
  <c r="S27" i="8"/>
  <c r="P27" i="8"/>
  <c r="O27" i="8"/>
  <c r="F25" i="8"/>
  <c r="F62" i="8" s="1"/>
  <c r="D25" i="8"/>
  <c r="D62" i="8" s="1"/>
  <c r="A25" i="8"/>
  <c r="F24" i="8"/>
  <c r="F56" i="8" s="1"/>
  <c r="D24" i="8"/>
  <c r="D56" i="8" s="1"/>
  <c r="F23" i="8"/>
  <c r="F67" i="8" s="1"/>
  <c r="D23" i="8"/>
  <c r="D67" i="8" s="1"/>
  <c r="S23" i="8"/>
  <c r="P23" i="8"/>
  <c r="O23" i="8"/>
  <c r="F22" i="8"/>
  <c r="F55" i="8" s="1"/>
  <c r="D22" i="8"/>
  <c r="D55" i="8" s="1"/>
  <c r="S22" i="8"/>
  <c r="P22" i="8"/>
  <c r="O22" i="8"/>
  <c r="F21" i="8"/>
  <c r="F52" i="8" s="1"/>
  <c r="D21" i="8"/>
  <c r="D52" i="8" s="1"/>
  <c r="S21" i="8"/>
  <c r="P21" i="8"/>
  <c r="F20" i="8"/>
  <c r="F39" i="8" s="1"/>
  <c r="D20" i="8"/>
  <c r="D39" i="8" s="1"/>
  <c r="F19" i="8"/>
  <c r="F38" i="8" s="1"/>
  <c r="D19" i="8"/>
  <c r="D38" i="8" s="1"/>
  <c r="O19" i="8"/>
  <c r="F18" i="8"/>
  <c r="F57" i="8" s="1"/>
  <c r="D18" i="8"/>
  <c r="D57" i="8" s="1"/>
  <c r="S18" i="8"/>
  <c r="O18" i="8"/>
  <c r="F17" i="8"/>
  <c r="F45" i="8" s="1"/>
  <c r="D17" i="8"/>
  <c r="D45" i="8" s="1"/>
  <c r="F16" i="8"/>
  <c r="F49" i="8" s="1"/>
  <c r="D16" i="8"/>
  <c r="D49" i="8" s="1"/>
  <c r="U16" i="8"/>
  <c r="T16" i="8"/>
  <c r="F15" i="8"/>
  <c r="F51" i="8" s="1"/>
  <c r="D15" i="8"/>
  <c r="D51" i="8" s="1"/>
  <c r="S15" i="8"/>
  <c r="F14" i="8"/>
  <c r="F58" i="8" s="1"/>
  <c r="D14" i="8"/>
  <c r="D58" i="8" s="1"/>
  <c r="S14" i="8"/>
  <c r="P14" i="8"/>
  <c r="O14" i="8"/>
  <c r="F13" i="8"/>
  <c r="F44" i="8" s="1"/>
  <c r="D13" i="8"/>
  <c r="D44" i="8" s="1"/>
  <c r="S13" i="8"/>
  <c r="Q13" i="8"/>
  <c r="Q16" i="8" s="1"/>
  <c r="P13" i="8"/>
  <c r="O13" i="8"/>
  <c r="F12" i="8"/>
  <c r="F54" i="8" s="1"/>
  <c r="D12" i="8"/>
  <c r="D54" i="8" s="1"/>
  <c r="S12" i="8"/>
  <c r="R12" i="8"/>
  <c r="R16" i="8" s="1"/>
  <c r="P12" i="8"/>
  <c r="O12" i="8"/>
  <c r="F11" i="8"/>
  <c r="F53" i="8" s="1"/>
  <c r="D11" i="8"/>
  <c r="D53" i="8" s="1"/>
  <c r="F10" i="8"/>
  <c r="F43" i="8" s="1"/>
  <c r="D10" i="8"/>
  <c r="D43" i="8" s="1"/>
  <c r="U10" i="8"/>
  <c r="R10" i="8"/>
  <c r="F9" i="8"/>
  <c r="F42" i="8" s="1"/>
  <c r="S8" i="8"/>
  <c r="P8" i="8"/>
  <c r="O8" i="8"/>
  <c r="F8" i="8"/>
  <c r="F65" i="8" s="1"/>
  <c r="D8" i="8"/>
  <c r="O48" i="8" s="1"/>
  <c r="T7" i="8"/>
  <c r="T10" i="8" s="1"/>
  <c r="S7" i="8"/>
  <c r="Q7" i="8"/>
  <c r="P7" i="8"/>
  <c r="O7" i="8"/>
  <c r="F7" i="8"/>
  <c r="F47" i="8" s="1"/>
  <c r="D7" i="8"/>
  <c r="D47" i="8" s="1"/>
  <c r="S6" i="8"/>
  <c r="P6" i="8"/>
  <c r="O6" i="8"/>
  <c r="F6" i="8"/>
  <c r="F48" i="8" s="1"/>
  <c r="D6" i="8"/>
  <c r="D48" i="8" s="1"/>
  <c r="S5" i="8"/>
  <c r="P5" i="8"/>
  <c r="O5" i="8"/>
  <c r="H5" i="8"/>
  <c r="H41" i="8" s="1"/>
  <c r="F5" i="8"/>
  <c r="F41" i="8" s="1"/>
  <c r="D5" i="8"/>
  <c r="D41" i="8" s="1"/>
  <c r="S4" i="8"/>
  <c r="Q4" i="8"/>
  <c r="Q10" i="8" s="1"/>
  <c r="P4" i="8"/>
  <c r="P10" i="8" s="1"/>
  <c r="O4" i="8"/>
  <c r="O10" i="8" s="1"/>
  <c r="H4" i="8"/>
  <c r="F4" i="8"/>
  <c r="D4" i="8"/>
  <c r="C149" i="9" l="1"/>
  <c r="M16" i="8"/>
  <c r="D297" i="3"/>
  <c r="D293" i="3"/>
  <c r="D153" i="12"/>
  <c r="N31" i="8"/>
  <c r="N35" i="8" s="1"/>
  <c r="E148" i="12"/>
  <c r="M33" i="8"/>
  <c r="M35" i="8" s="1"/>
  <c r="C153" i="12"/>
  <c r="N51" i="8"/>
  <c r="N56" i="8" s="1"/>
  <c r="E153" i="3"/>
  <c r="E186" i="3"/>
  <c r="E288" i="3" s="1"/>
  <c r="O21" i="8" s="1"/>
  <c r="E120" i="12"/>
  <c r="I197" i="4"/>
  <c r="I146" i="9"/>
  <c r="I149" i="9" s="1"/>
  <c r="H146" i="9"/>
  <c r="E119" i="9"/>
  <c r="F119" i="9"/>
  <c r="E133" i="9"/>
  <c r="F133" i="9"/>
  <c r="E148" i="9"/>
  <c r="F148" i="9"/>
  <c r="H148" i="9"/>
  <c r="E287" i="3"/>
  <c r="E297" i="3" s="1"/>
  <c r="E298" i="3" s="1"/>
  <c r="F153" i="3"/>
  <c r="F287" i="3" s="1"/>
  <c r="G153" i="3"/>
  <c r="G287" i="3" s="1"/>
  <c r="H153" i="3"/>
  <c r="H287" i="3" s="1"/>
  <c r="I153" i="3"/>
  <c r="I287" i="3" s="1"/>
  <c r="I293" i="3" s="1"/>
  <c r="E293" i="3"/>
  <c r="E55" i="12"/>
  <c r="E149" i="12" s="1"/>
  <c r="F55" i="12"/>
  <c r="F149" i="12" s="1"/>
  <c r="G55" i="12"/>
  <c r="G149" i="12" s="1"/>
  <c r="H55" i="12"/>
  <c r="H149" i="12" s="1"/>
  <c r="I55" i="12"/>
  <c r="I149" i="12" s="1"/>
  <c r="F85" i="12"/>
  <c r="F150" i="12" s="1"/>
  <c r="G85" i="12"/>
  <c r="G150" i="12" s="1"/>
  <c r="S32" i="8" s="1"/>
  <c r="H85" i="12"/>
  <c r="H150" i="12" s="1"/>
  <c r="I85" i="12"/>
  <c r="I150" i="12" s="1"/>
  <c r="E151" i="12"/>
  <c r="O33" i="8" s="1"/>
  <c r="F120" i="12"/>
  <c r="F151" i="12" s="1"/>
  <c r="P33" i="8" s="1"/>
  <c r="G120" i="12"/>
  <c r="G151" i="12" s="1"/>
  <c r="S33" i="8" s="1"/>
  <c r="H120" i="12"/>
  <c r="H151" i="12" s="1"/>
  <c r="I120" i="12"/>
  <c r="I151" i="12" s="1"/>
  <c r="E152" i="12"/>
  <c r="O34" i="8" s="1"/>
  <c r="F148" i="12"/>
  <c r="F152" i="12" s="1"/>
  <c r="P34" i="8" s="1"/>
  <c r="G148" i="12"/>
  <c r="G152" i="12" s="1"/>
  <c r="S34" i="8" s="1"/>
  <c r="H148" i="12"/>
  <c r="H152" i="12" s="1"/>
  <c r="I148" i="12"/>
  <c r="I152" i="12" s="1"/>
  <c r="O37" i="8"/>
  <c r="O41" i="8" s="1"/>
  <c r="E93" i="2"/>
  <c r="I35" i="11"/>
  <c r="I43" i="11" s="1"/>
  <c r="C43" i="11"/>
  <c r="C35" i="8"/>
  <c r="C70" i="8" s="1"/>
  <c r="C72" i="8" s="1"/>
  <c r="M56" i="8" s="1"/>
  <c r="U51" i="8"/>
  <c r="N63" i="8" s="1"/>
  <c r="S41" i="8"/>
  <c r="G63" i="8"/>
  <c r="T51" i="8"/>
  <c r="N62" i="8" s="1"/>
  <c r="S16" i="8"/>
  <c r="J63" i="8"/>
  <c r="J70" i="8" s="1"/>
  <c r="J72" i="8" s="1"/>
  <c r="M63" i="8" s="1"/>
  <c r="O63" i="8" s="1"/>
  <c r="H63" i="8"/>
  <c r="E63" i="8"/>
  <c r="E70" i="8" s="1"/>
  <c r="E72" i="8" s="1"/>
  <c r="M59" i="8" s="1"/>
  <c r="P41" i="8"/>
  <c r="I63" i="8"/>
  <c r="I70" i="8"/>
  <c r="I72" i="8" s="1"/>
  <c r="M62" i="8" s="1"/>
  <c r="O62" i="8" s="1"/>
  <c r="Q51" i="8"/>
  <c r="N59" i="8" s="1"/>
  <c r="R51" i="8"/>
  <c r="S10" i="8"/>
  <c r="P29" i="8"/>
  <c r="G70" i="8"/>
  <c r="G72" i="8" s="1"/>
  <c r="P48" i="8"/>
  <c r="S29" i="8"/>
  <c r="F27" i="8"/>
  <c r="D27" i="8"/>
  <c r="H27" i="8"/>
  <c r="F68" i="8"/>
  <c r="O29" i="8"/>
  <c r="D63" i="8"/>
  <c r="F63" i="8"/>
  <c r="D65" i="8"/>
  <c r="D68" i="8" s="1"/>
  <c r="O49" i="8"/>
  <c r="O50" i="8" s="1"/>
  <c r="P49" i="8"/>
  <c r="P50" i="8" s="1"/>
  <c r="O59" i="8" l="1"/>
  <c r="I153" i="12"/>
  <c r="H153" i="12"/>
  <c r="G153" i="12"/>
  <c r="S31" i="8"/>
  <c r="S35" i="8" s="1"/>
  <c r="S51" i="8" s="1"/>
  <c r="N61" i="8" s="1"/>
  <c r="F153" i="12"/>
  <c r="P31" i="8"/>
  <c r="P35" i="8" s="1"/>
  <c r="E153" i="12"/>
  <c r="O31" i="8"/>
  <c r="O35" i="8" s="1"/>
  <c r="I297" i="3"/>
  <c r="I298" i="3" s="1"/>
  <c r="H293" i="3"/>
  <c r="H297" i="3"/>
  <c r="H298" i="3" s="1"/>
  <c r="G297" i="3"/>
  <c r="G298" i="3" s="1"/>
  <c r="G293" i="3"/>
  <c r="F297" i="3"/>
  <c r="F298" i="3" s="1"/>
  <c r="F293" i="3"/>
  <c r="P15" i="8"/>
  <c r="P16" i="8" s="1"/>
  <c r="P51" i="8" s="1"/>
  <c r="N58" i="8" s="1"/>
  <c r="F149" i="9"/>
  <c r="O15" i="8"/>
  <c r="O16" i="8" s="1"/>
  <c r="E149" i="9"/>
  <c r="H149" i="9"/>
  <c r="O51" i="8"/>
  <c r="N57" i="8" s="1"/>
  <c r="H70" i="8"/>
  <c r="H72" i="8" s="1"/>
  <c r="M61" i="8" s="1"/>
  <c r="F70" i="8"/>
  <c r="F72" i="8" s="1"/>
  <c r="M58" i="8" s="1"/>
  <c r="O58" i="8" s="1"/>
  <c r="O56" i="8"/>
  <c r="O61" i="8"/>
  <c r="D70" i="8"/>
  <c r="D72" i="8" s="1"/>
  <c r="M57" i="8" s="1"/>
  <c r="O57" i="8" l="1"/>
  <c r="B23" i="8"/>
  <c r="M49" i="8" s="1"/>
  <c r="B67" i="8"/>
  <c r="B8" i="8"/>
  <c r="B65" i="8" s="1"/>
  <c r="B68" i="8" s="1"/>
  <c r="M48" i="8"/>
  <c r="B5" i="8"/>
  <c r="B41" i="8" s="1"/>
  <c r="B20" i="8"/>
  <c r="B39" i="8" s="1"/>
  <c r="B6" i="8"/>
  <c r="B48" i="8" s="1"/>
  <c r="B7" i="8"/>
  <c r="B47" i="8" s="1"/>
  <c r="B9" i="8"/>
  <c r="B42" i="8" s="1"/>
  <c r="B10" i="8"/>
  <c r="B43" i="8" s="1"/>
  <c r="B11" i="8"/>
  <c r="B53" i="8" s="1"/>
  <c r="B12" i="8"/>
  <c r="B54" i="8" s="1"/>
  <c r="B13" i="8"/>
  <c r="B44" i="8" s="1"/>
  <c r="B14" i="8"/>
  <c r="B58" i="8" s="1"/>
  <c r="B15" i="8"/>
  <c r="B51" i="8" s="1"/>
  <c r="B16" i="8"/>
  <c r="B49" i="8" s="1"/>
  <c r="B17" i="8"/>
  <c r="B45" i="8" s="1"/>
  <c r="B18" i="8"/>
  <c r="B57" i="8" s="1"/>
  <c r="B21" i="8"/>
  <c r="B52" i="8" s="1"/>
  <c r="B22" i="8"/>
  <c r="B55" i="8" s="1"/>
  <c r="B24" i="8"/>
  <c r="B56" i="8" s="1"/>
  <c r="B27" i="8"/>
  <c r="C28" i="6"/>
  <c r="B63" i="8" l="1"/>
  <c r="B70" i="8"/>
  <c r="B72" i="8"/>
  <c r="M55" i="8" s="1"/>
  <c r="M50" i="8"/>
  <c r="M51" i="8" s="1"/>
  <c r="N55" i="8" s="1"/>
  <c r="O5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Lieu</author>
  </authors>
  <commentList>
    <comment ref="S44" authorId="0" shapeId="0" xr:uid="{00000000-0006-0000-0000-000001000000}">
      <text>
        <r>
          <rPr>
            <sz val="10"/>
            <color rgb="FF000000"/>
            <rFont val="Arial"/>
            <family val="2"/>
          </rPr>
          <t>Justin Lieu:
this was inputted wrong at 296803, not properly updated . Supposed to be 300,979</t>
        </r>
      </text>
    </comment>
  </commentList>
</comments>
</file>

<file path=xl/sharedStrings.xml><?xml version="1.0" encoding="utf-8"?>
<sst xmlns="http://schemas.openxmlformats.org/spreadsheetml/2006/main" count="1961" uniqueCount="1240">
  <si>
    <t xml:space="preserve">Revenues Summary </t>
  </si>
  <si>
    <t>Expenditures Summary</t>
  </si>
  <si>
    <t>Description</t>
  </si>
  <si>
    <t>Prelim Budget 2025/26</t>
  </si>
  <si>
    <t>Reforecast 2024/25</t>
  </si>
  <si>
    <t>Final Budget 2024/25</t>
  </si>
  <si>
    <t>Draft Actuals 2023/24</t>
  </si>
  <si>
    <t>Prelim Budget 2024/25</t>
  </si>
  <si>
    <t>Reforecast 2023/24</t>
  </si>
  <si>
    <t>Approved Budget 2023/24</t>
  </si>
  <si>
    <t>Actuals Draft 2022/23</t>
  </si>
  <si>
    <t>Reforcast Budget 2022/23</t>
  </si>
  <si>
    <t>Approved Budget 2024/25</t>
  </si>
  <si>
    <t>Actuals Draft 2023/24</t>
  </si>
  <si>
    <t>Reforecast 2022/23</t>
  </si>
  <si>
    <t>Revenues From Fees</t>
  </si>
  <si>
    <t>Executives</t>
  </si>
  <si>
    <t>General (AMS Membership)</t>
  </si>
  <si>
    <t>President</t>
  </si>
  <si>
    <t>Capital Projects Fund</t>
  </si>
  <si>
    <t>Vice President AUA</t>
  </si>
  <si>
    <t>Resource Groups</t>
  </si>
  <si>
    <t>Vice President Admin</t>
  </si>
  <si>
    <t>WUSC Refugee Fund</t>
  </si>
  <si>
    <t>Vice-President External</t>
  </si>
  <si>
    <t>SASC</t>
  </si>
  <si>
    <t>Vice-President Finance</t>
  </si>
  <si>
    <t>CiTR</t>
  </si>
  <si>
    <t xml:space="preserve">Vice-President Student Life </t>
  </si>
  <si>
    <t>Ombudsperson</t>
  </si>
  <si>
    <t>Total Student Executive</t>
  </si>
  <si>
    <t>Climate Action</t>
  </si>
  <si>
    <t>Student Council</t>
  </si>
  <si>
    <t>International</t>
  </si>
  <si>
    <t xml:space="preserve">Council </t>
  </si>
  <si>
    <t>Clubs benefit</t>
  </si>
  <si>
    <t>Committees</t>
  </si>
  <si>
    <t>Bike Kitchen</t>
  </si>
  <si>
    <t>Student Legal Fund</t>
  </si>
  <si>
    <t>Elections and Referenda</t>
  </si>
  <si>
    <t>Student Aid Bursary</t>
  </si>
  <si>
    <t>Total Student Council</t>
  </si>
  <si>
    <t>Athletics and Intramurals</t>
  </si>
  <si>
    <t>Student Services</t>
  </si>
  <si>
    <t>Campus Culture and Performance</t>
  </si>
  <si>
    <t>Senior Student SSM</t>
  </si>
  <si>
    <t>Graduating Class Fee</t>
  </si>
  <si>
    <t>Student Services Manager</t>
  </si>
  <si>
    <t>Health and Dental Plan</t>
  </si>
  <si>
    <t>Sexual Assault Support Centre</t>
  </si>
  <si>
    <t>SUB Renewal Fee</t>
  </si>
  <si>
    <t>Foodbank</t>
  </si>
  <si>
    <t>Sustainable Food Access Fund</t>
  </si>
  <si>
    <t>Safewalk</t>
  </si>
  <si>
    <t>Indigenous student Fund</t>
  </si>
  <si>
    <t>Tutoring Services</t>
  </si>
  <si>
    <t>Permanent thrift shop on campus fee</t>
  </si>
  <si>
    <t>Housing</t>
  </si>
  <si>
    <t>V.I.C.E</t>
  </si>
  <si>
    <t>Constituency Fees</t>
  </si>
  <si>
    <t>varied</t>
  </si>
  <si>
    <t>EHUB</t>
  </si>
  <si>
    <t>Total Revenues from Fees</t>
  </si>
  <si>
    <t>Peer Support</t>
  </si>
  <si>
    <t>Other Revenues</t>
  </si>
  <si>
    <t>Advocacy Office</t>
  </si>
  <si>
    <t>Businesses</t>
  </si>
  <si>
    <t>Total Student Services</t>
  </si>
  <si>
    <t>Overhead</t>
  </si>
  <si>
    <t>AMS Events</t>
  </si>
  <si>
    <t>Investments</t>
  </si>
  <si>
    <t>Events Department</t>
  </si>
  <si>
    <t>Gain on Disposal of Capital Assets</t>
  </si>
  <si>
    <t>Welcome Back BBQ</t>
  </si>
  <si>
    <t xml:space="preserve">Endowment Interest </t>
  </si>
  <si>
    <t>First Week</t>
  </si>
  <si>
    <t>Government Wage Subsidy</t>
  </si>
  <si>
    <t xml:space="preserve">Block Party </t>
  </si>
  <si>
    <t>Total Other Revenues</t>
  </si>
  <si>
    <t xml:space="preserve">Total Events </t>
  </si>
  <si>
    <t>Non-Discretionary Allocations</t>
  </si>
  <si>
    <t>Ancillary Services</t>
  </si>
  <si>
    <t>Undergraduate Constituency Fees</t>
  </si>
  <si>
    <t>Communications &amp; Design</t>
  </si>
  <si>
    <t>Graduating Class</t>
  </si>
  <si>
    <t>Equity and Inclusion</t>
  </si>
  <si>
    <t>Health &amp; Dental Reserve Fund</t>
  </si>
  <si>
    <t>Policy Advisor</t>
  </si>
  <si>
    <t>Art Reserve Fund</t>
  </si>
  <si>
    <t>Archives &amp; Research</t>
  </si>
  <si>
    <t>Total Ancillary Services</t>
  </si>
  <si>
    <t>CiTR Reserve Fund</t>
  </si>
  <si>
    <t>Overhead Cost</t>
  </si>
  <si>
    <t>Administration</t>
  </si>
  <si>
    <t>Clubs Benefit Fund</t>
  </si>
  <si>
    <t>Human Resources</t>
  </si>
  <si>
    <t>Intramurals &amp; Athletics Reserve Fund</t>
  </si>
  <si>
    <t>Information Systems</t>
  </si>
  <si>
    <t>Competitive Athletics Fund</t>
  </si>
  <si>
    <t xml:space="preserve">Total Overhead Cost </t>
  </si>
  <si>
    <t>Refugee Student Reserve Fund(WUSC)</t>
  </si>
  <si>
    <t>Transfers To The Budget</t>
  </si>
  <si>
    <t>Resource Group Fund</t>
  </si>
  <si>
    <t>Sexual Assault Initiatives Fund</t>
  </si>
  <si>
    <t>Student Aid Bursary Fund</t>
  </si>
  <si>
    <t>Indigenous Fund</t>
  </si>
  <si>
    <t>Student Initiatives Fund</t>
  </si>
  <si>
    <t>Total Transfers Expense Allocation</t>
  </si>
  <si>
    <t>Total Expenditures</t>
  </si>
  <si>
    <t>SUB Renewal Fund</t>
  </si>
  <si>
    <t xml:space="preserve">AMS Surplus/Deficit </t>
  </si>
  <si>
    <t>International Fund</t>
  </si>
  <si>
    <t xml:space="preserve">Revenue </t>
  </si>
  <si>
    <t>Expenditure</t>
  </si>
  <si>
    <t xml:space="preserve">Surplus/Deficit </t>
  </si>
  <si>
    <t>Sustainable Food Access Fee</t>
  </si>
  <si>
    <t>Campus Culture &amp; Performance Fund</t>
  </si>
  <si>
    <t>Final Approved Budget 2024/25</t>
  </si>
  <si>
    <t>Bike Kitchen Fee</t>
  </si>
  <si>
    <t>Pre Lim Budget 2024/25</t>
  </si>
  <si>
    <t>Municipal Elections Fund</t>
  </si>
  <si>
    <t>Provincial Elections Fund</t>
  </si>
  <si>
    <t>Federal Elections Fund</t>
  </si>
  <si>
    <t xml:space="preserve">Approved Budget 2023/24 </t>
  </si>
  <si>
    <t>Fitness &amp; Recreation Building Fee</t>
  </si>
  <si>
    <t>Draft Actuals 2022/23</t>
  </si>
  <si>
    <t>Total Non-Discretionary Allocations</t>
  </si>
  <si>
    <t>Sustainability Projects Fund</t>
  </si>
  <si>
    <t>Total Transfers To The Budget</t>
  </si>
  <si>
    <t>Net Discretionary Income</t>
  </si>
  <si>
    <t xml:space="preserve"> </t>
  </si>
  <si>
    <t>Total Revenues</t>
  </si>
  <si>
    <t>Number of Students</t>
  </si>
  <si>
    <t>Student Fee 2024/25</t>
  </si>
  <si>
    <t>Expected Revenue 2025/26</t>
  </si>
  <si>
    <t>Expected Revenue 2024/25</t>
  </si>
  <si>
    <t>Student Fee 2023/24</t>
  </si>
  <si>
    <t>Expected Revenue 2023/24</t>
  </si>
  <si>
    <t>Student Fee 2022/23</t>
  </si>
  <si>
    <t>Expected Revenue 2022/23</t>
  </si>
  <si>
    <t># of AMS Member</t>
  </si>
  <si>
    <t># On the Extended Health and Dental Plan</t>
  </si>
  <si>
    <t>Climate Action Fee</t>
  </si>
  <si>
    <t>Fitness and Recreation Building Fee</t>
  </si>
  <si>
    <t>U-Pass (per term)</t>
  </si>
  <si>
    <t>Ubyssey Fee</t>
  </si>
  <si>
    <t>Total Fee</t>
  </si>
  <si>
    <t>BC CPI - 2.646%
Van CPI - 2.596%</t>
  </si>
  <si>
    <t>Catalogue</t>
  </si>
  <si>
    <t>Account Descriptions</t>
  </si>
  <si>
    <t>Account Code</t>
  </si>
  <si>
    <t>Prelim 2025/26</t>
  </si>
  <si>
    <t>Prelim 2024/25</t>
  </si>
  <si>
    <t>Approved 2023/24</t>
  </si>
  <si>
    <t>Preliminary Budget 2023/24</t>
  </si>
  <si>
    <t xml:space="preserve">President </t>
  </si>
  <si>
    <t>1064</t>
  </si>
  <si>
    <t>Salaries, Wages and Benefits</t>
  </si>
  <si>
    <t xml:space="preserve">President Salaries </t>
  </si>
  <si>
    <t>1064-00-70010</t>
  </si>
  <si>
    <t xml:space="preserve">President Benefit </t>
  </si>
  <si>
    <t>1064-00-70020</t>
  </si>
  <si>
    <t xml:space="preserve">Transition </t>
  </si>
  <si>
    <t>Staff Salaries</t>
  </si>
  <si>
    <t xml:space="preserve">Staff Benefit </t>
  </si>
  <si>
    <t>Staff Appreciation and Meal Plan</t>
  </si>
  <si>
    <t xml:space="preserve">Staff Appreciation </t>
  </si>
  <si>
    <t>1064-00-70075</t>
  </si>
  <si>
    <t>Meal Plan</t>
  </si>
  <si>
    <t>1064-00-70030</t>
  </si>
  <si>
    <t>Administrative Expenses</t>
  </si>
  <si>
    <t>Telecommunications</t>
  </si>
  <si>
    <t>1064-00-70103</t>
  </si>
  <si>
    <t xml:space="preserve">Office Supplies </t>
  </si>
  <si>
    <t>1064-00-70105</t>
  </si>
  <si>
    <t>Postage/Courier</t>
  </si>
  <si>
    <t>1064-00-70106</t>
  </si>
  <si>
    <t xml:space="preserve"> $-   </t>
  </si>
  <si>
    <t>-</t>
  </si>
  <si>
    <t xml:space="preserve">Photocopying and Administrative </t>
  </si>
  <si>
    <t>1064-00-70112</t>
  </si>
  <si>
    <t>Furniture, Equipment and IT</t>
  </si>
  <si>
    <t xml:space="preserve">Furniture and Equipment </t>
  </si>
  <si>
    <t>1064-00-70219</t>
  </si>
  <si>
    <t>Computer Hardware/Software</t>
  </si>
  <si>
    <t>1064-00-70333</t>
  </si>
  <si>
    <t>Professional Development and Official Business</t>
  </si>
  <si>
    <t xml:space="preserve">Conference and Official Business </t>
  </si>
  <si>
    <t>1064-00-70114</t>
  </si>
  <si>
    <t xml:space="preserve">Partnership Building </t>
  </si>
  <si>
    <t>1064-00-70215</t>
  </si>
  <si>
    <t>Projects, Events, and Operations</t>
  </si>
  <si>
    <t>Constituency Projects and Relations</t>
  </si>
  <si>
    <t>1064-00-70510</t>
  </si>
  <si>
    <t xml:space="preserve">Miscellaneous Revenue </t>
  </si>
  <si>
    <t>1064-00-50070</t>
  </si>
  <si>
    <t xml:space="preserve">Total </t>
  </si>
  <si>
    <t>VP Academic and University Affairs</t>
  </si>
  <si>
    <t>1065</t>
  </si>
  <si>
    <t xml:space="preserve">VP AUA Salaries </t>
  </si>
  <si>
    <t>1065-00-70010</t>
  </si>
  <si>
    <t xml:space="preserve">VP AUA Benefit </t>
  </si>
  <si>
    <t>1065-00-70020</t>
  </si>
  <si>
    <t xml:space="preserve">Student Staff Salaries </t>
  </si>
  <si>
    <t>1065-00-70075</t>
  </si>
  <si>
    <t>1065-00-70030</t>
  </si>
  <si>
    <t>1065-00-70103</t>
  </si>
  <si>
    <t>1065-00-70105</t>
  </si>
  <si>
    <t>1065-00-70106</t>
  </si>
  <si>
    <t>1065-00-70112</t>
  </si>
  <si>
    <t>1065-00-70219</t>
  </si>
  <si>
    <t>1065-00-70333</t>
  </si>
  <si>
    <t>1065-00-70114</t>
  </si>
  <si>
    <t>1065-00-70215</t>
  </si>
  <si>
    <t>Special Projects - Campaigns</t>
  </si>
  <si>
    <t>1065-01-70510</t>
  </si>
  <si>
    <t>Academic Special Projects (Textbook Broke)</t>
  </si>
  <si>
    <t xml:space="preserve">Academic Experience Survey </t>
  </si>
  <si>
    <t>1065-01-70567</t>
  </si>
  <si>
    <t xml:space="preserve">AES Promo </t>
  </si>
  <si>
    <t>1065-01-70209</t>
  </si>
  <si>
    <t xml:space="preserve">Special Projects University Affairs Projects </t>
  </si>
  <si>
    <t>Special Projects - Teaching and Learning Celebration</t>
  </si>
  <si>
    <t xml:space="preserve">Amortization &amp; Depreciation </t>
  </si>
  <si>
    <t>1065-01-70299</t>
  </si>
  <si>
    <t>Miscellaneous Revenue (ELFF+SLFS)</t>
  </si>
  <si>
    <t>1065-01-50070</t>
  </si>
  <si>
    <t>VP Administration</t>
  </si>
  <si>
    <t>1080</t>
  </si>
  <si>
    <t xml:space="preserve">VPA Salaries </t>
  </si>
  <si>
    <t>1080-00-70010</t>
  </si>
  <si>
    <t xml:space="preserve">VPA Benefit </t>
  </si>
  <si>
    <t>1080-00-70020</t>
  </si>
  <si>
    <t>1080-00-70011</t>
  </si>
  <si>
    <t>1080-00-70075</t>
  </si>
  <si>
    <t xml:space="preserve">Volunteer Appreciation </t>
  </si>
  <si>
    <t>1080-00-70494</t>
  </si>
  <si>
    <t>1080-00-70103</t>
  </si>
  <si>
    <t>1080-00-70105</t>
  </si>
  <si>
    <t>1080-00-70106</t>
  </si>
  <si>
    <t>1080-00-70112</t>
  </si>
  <si>
    <t>1080-00-70219</t>
  </si>
  <si>
    <t>1080-00-70333</t>
  </si>
  <si>
    <t xml:space="preserve">Conference and Offical Business </t>
  </si>
  <si>
    <t>1080-00-70114</t>
  </si>
  <si>
    <t>1080-00-70215</t>
  </si>
  <si>
    <t>Clubs</t>
  </si>
  <si>
    <t>Clubs Days</t>
  </si>
  <si>
    <t>1080-02-70401</t>
  </si>
  <si>
    <t>Club Executive Orientation</t>
  </si>
  <si>
    <t>1080-02-70490</t>
  </si>
  <si>
    <t>Club Events</t>
  </si>
  <si>
    <t>1080-02-70700</t>
  </si>
  <si>
    <t>Repairs and Maintenance</t>
  </si>
  <si>
    <t>1080-02-70220</t>
  </si>
  <si>
    <t xml:space="preserve">Advertising </t>
  </si>
  <si>
    <t>1080-02-70209</t>
  </si>
  <si>
    <t xml:space="preserve">IT Systems </t>
  </si>
  <si>
    <t>1080-01-70333</t>
  </si>
  <si>
    <t>Art Gallery</t>
  </si>
  <si>
    <t>Advertising &amp; Promotion</t>
  </si>
  <si>
    <t>1080-03-70209</t>
  </si>
  <si>
    <t>1080-03-70220</t>
  </si>
  <si>
    <t xml:space="preserve">Curatorial Projects </t>
  </si>
  <si>
    <t>1080-03-70510</t>
  </si>
  <si>
    <t xml:space="preserve">Events &amp; Reception </t>
  </si>
  <si>
    <t>1080-03-70700</t>
  </si>
  <si>
    <t>Operations</t>
  </si>
  <si>
    <t>Sustainability Operations</t>
  </si>
  <si>
    <t>1080-05-70510</t>
  </si>
  <si>
    <t xml:space="preserve">Nest Animation </t>
  </si>
  <si>
    <t>1080-06-70030</t>
  </si>
  <si>
    <t>Miscellaneous Revenue (Sponsorship)</t>
  </si>
  <si>
    <t>1080-02-50070</t>
  </si>
  <si>
    <t xml:space="preserve">VP External </t>
  </si>
  <si>
    <t>1068</t>
  </si>
  <si>
    <t xml:space="preserve">VPX Salaries </t>
  </si>
  <si>
    <t>1068-00-70010</t>
  </si>
  <si>
    <t xml:space="preserve">VPX Benefit </t>
  </si>
  <si>
    <t>1068-00-70020</t>
  </si>
  <si>
    <t>1068-00-70494</t>
  </si>
  <si>
    <t>1068-00-70103</t>
  </si>
  <si>
    <t>1068-00-70105</t>
  </si>
  <si>
    <t>1068-00-70106</t>
  </si>
  <si>
    <t>1068-00-70112</t>
  </si>
  <si>
    <t>1068-00-70219</t>
  </si>
  <si>
    <t>1068-00-70333</t>
  </si>
  <si>
    <t>1068-00-70114</t>
  </si>
  <si>
    <t xml:space="preserve">Partnership/team Building </t>
  </si>
  <si>
    <t>1068-00- 70215</t>
  </si>
  <si>
    <t>Campaigns and Research</t>
  </si>
  <si>
    <t>1068-00- 70306</t>
  </si>
  <si>
    <t>Lobbying Activities</t>
  </si>
  <si>
    <t>1068-00-70536</t>
  </si>
  <si>
    <t>Miscellaneous Revenue (ELFF)</t>
  </si>
  <si>
    <t>1068-00-50070</t>
  </si>
  <si>
    <t>Student Union Development Summit</t>
  </si>
  <si>
    <t xml:space="preserve">Membership Fees (Tickets Sale) </t>
  </si>
  <si>
    <t>1072-00-50050</t>
  </si>
  <si>
    <t>Sponsorship Revenue</t>
  </si>
  <si>
    <t>1072-00-50060</t>
  </si>
  <si>
    <t xml:space="preserve">Gage Accomodations Revenue </t>
  </si>
  <si>
    <t>1072-00-50114</t>
  </si>
  <si>
    <t>Set up Fees</t>
  </si>
  <si>
    <t>1072-00-70315</t>
  </si>
  <si>
    <t xml:space="preserve">Great Hall Booking and Decor </t>
  </si>
  <si>
    <t>1072-00-70200</t>
  </si>
  <si>
    <t>Miscellaneous Expenses</t>
  </si>
  <si>
    <t>1072-00-70107</t>
  </si>
  <si>
    <t>1072-00-70112</t>
  </si>
  <si>
    <t xml:space="preserve">Facilitators Honoraria </t>
  </si>
  <si>
    <t>1072-00-70175</t>
  </si>
  <si>
    <t xml:space="preserve">Promotions &amp; Advertising </t>
  </si>
  <si>
    <t>1072-00-70209</t>
  </si>
  <si>
    <t>1072-00-70219</t>
  </si>
  <si>
    <t xml:space="preserve">Delegate Packages </t>
  </si>
  <si>
    <t>1072-00-70326</t>
  </si>
  <si>
    <t xml:space="preserve">Transportation </t>
  </si>
  <si>
    <t>1072-00-70114</t>
  </si>
  <si>
    <t>Catering Expenses</t>
  </si>
  <si>
    <t>1072-00-70080</t>
  </si>
  <si>
    <t xml:space="preserve">Accommodations </t>
  </si>
  <si>
    <t>1072-00-70494</t>
  </si>
  <si>
    <t>Social Activities</t>
  </si>
  <si>
    <t>1072-00-70075</t>
  </si>
  <si>
    <t xml:space="preserve">VP Finance </t>
  </si>
  <si>
    <t>1066</t>
  </si>
  <si>
    <t xml:space="preserve">VP Finance Salaries </t>
  </si>
  <si>
    <t>1066-00-70010</t>
  </si>
  <si>
    <t xml:space="preserve">VP Finance Benefit </t>
  </si>
  <si>
    <t>1066-00-70020</t>
  </si>
  <si>
    <t>Transition</t>
  </si>
  <si>
    <t>1066-00-70011</t>
  </si>
  <si>
    <t>1066-00-70494</t>
  </si>
  <si>
    <t xml:space="preserve">Staff Social </t>
  </si>
  <si>
    <t>1066-00-70075</t>
  </si>
  <si>
    <t>1066-00-70103</t>
  </si>
  <si>
    <t>1066-00-70105</t>
  </si>
  <si>
    <t>1066-00-70106</t>
  </si>
  <si>
    <t>1066-00-70112</t>
  </si>
  <si>
    <t>1066-00-70219</t>
  </si>
  <si>
    <t>1066-00-70333</t>
  </si>
  <si>
    <t>1066-00-70114</t>
  </si>
  <si>
    <t>1066-00-70215</t>
  </si>
  <si>
    <t xml:space="preserve">Project and Events </t>
  </si>
  <si>
    <t>1066-02-70510</t>
  </si>
  <si>
    <t>Club Treasuer Orientation</t>
  </si>
  <si>
    <t>1066-00-70490</t>
  </si>
  <si>
    <t>1066-00-50070</t>
  </si>
  <si>
    <t xml:space="preserve">VP Student Life </t>
  </si>
  <si>
    <t xml:space="preserve">VP Student Life Salaries </t>
  </si>
  <si>
    <t xml:space="preserve">VP Student Life Benefit </t>
  </si>
  <si>
    <t xml:space="preserve">Constituency Project and Events </t>
  </si>
  <si>
    <t>Executive Orientation</t>
  </si>
  <si>
    <t xml:space="preserve">Total President </t>
  </si>
  <si>
    <t>Total VPAUA</t>
  </si>
  <si>
    <t>Total VPA</t>
  </si>
  <si>
    <t>Total VPX</t>
  </si>
  <si>
    <t>Total VPF</t>
  </si>
  <si>
    <t>Total VPSL</t>
  </si>
  <si>
    <t xml:space="preserve">Total Executive </t>
  </si>
  <si>
    <t>Council</t>
  </si>
  <si>
    <t>Salaries &amp; Wages</t>
  </si>
  <si>
    <t>1050-00-70010</t>
  </si>
  <si>
    <t>Hourly &amp; Wages</t>
  </si>
  <si>
    <t>1050-00-70011</t>
  </si>
  <si>
    <t>Employee Benefit</t>
  </si>
  <si>
    <t>1050-00-70020</t>
  </si>
  <si>
    <t>Merchandise Expense</t>
  </si>
  <si>
    <t>1050-00-70028</t>
  </si>
  <si>
    <t>Food and Refreshments</t>
  </si>
  <si>
    <t>1050-00-70080</t>
  </si>
  <si>
    <t>Speaker Honoraria</t>
  </si>
  <si>
    <t>1050-00-70175</t>
  </si>
  <si>
    <t>Office Supplies</t>
  </si>
  <si>
    <t>1050-00-70105</t>
  </si>
  <si>
    <t>1050-00-70106</t>
  </si>
  <si>
    <t>Miscellaneous Expense</t>
  </si>
  <si>
    <t>1050-00-70107</t>
  </si>
  <si>
    <t>Photocopying &amp; Administrative</t>
  </si>
  <si>
    <t>1050-00-70112</t>
  </si>
  <si>
    <t>Operational Expenses</t>
  </si>
  <si>
    <t>Legal Fees</t>
  </si>
  <si>
    <t>1050-00-70160</t>
  </si>
  <si>
    <t>Dues, Memberships, Subscriptions</t>
  </si>
  <si>
    <t>1050-00-70210</t>
  </si>
  <si>
    <t>Staff Incentives</t>
  </si>
  <si>
    <t>1050-00-70212</t>
  </si>
  <si>
    <t>Council Appreciation</t>
  </si>
  <si>
    <t>1050-00-70321</t>
  </si>
  <si>
    <t>Volunteer Appreciation</t>
  </si>
  <si>
    <t>1050-00-70494</t>
  </si>
  <si>
    <t>Team Building and Development</t>
  </si>
  <si>
    <t>1050-00-70215</t>
  </si>
  <si>
    <t xml:space="preserve">Council Expense </t>
  </si>
  <si>
    <t>Transportation</t>
  </si>
  <si>
    <t>1050-00-70114</t>
  </si>
  <si>
    <t>Non Casa Conf and Official Bus</t>
  </si>
  <si>
    <t>1050-00-70115</t>
  </si>
  <si>
    <t>Photograph Composite</t>
  </si>
  <si>
    <t>1050-00-70116</t>
  </si>
  <si>
    <t>Depreciation and Amortization</t>
  </si>
  <si>
    <t>1050-00-70299</t>
  </si>
  <si>
    <t>1050-00-70333</t>
  </si>
  <si>
    <t>Special Projects</t>
  </si>
  <si>
    <t>1050-00-70510</t>
  </si>
  <si>
    <t>Annual General Meeting</t>
  </si>
  <si>
    <t>Food and Refreshment</t>
  </si>
  <si>
    <t>1050-09-70080</t>
  </si>
  <si>
    <t>Photocopying and Administrative</t>
  </si>
  <si>
    <t>1050-09-70112</t>
  </si>
  <si>
    <t xml:space="preserve">Event Expense </t>
  </si>
  <si>
    <t>1050-09-70700</t>
  </si>
  <si>
    <t>Advertising &amp; Promotions</t>
  </si>
  <si>
    <t>1050-09-70209</t>
  </si>
  <si>
    <t>Advisory Board</t>
  </si>
  <si>
    <t>1181-01-70010</t>
  </si>
  <si>
    <t>Council Orientation</t>
  </si>
  <si>
    <t>1090-00-70490</t>
  </si>
  <si>
    <t>1090-00-70107</t>
  </si>
  <si>
    <t>1090-00-70114</t>
  </si>
  <si>
    <t>Catering Expense</t>
  </si>
  <si>
    <t>1090-00-70080</t>
  </si>
  <si>
    <t>Accommodation</t>
  </si>
  <si>
    <t>Entertainment Expense</t>
  </si>
  <si>
    <t>1090-00-70634</t>
  </si>
  <si>
    <t>UBC Presidents Fund</t>
  </si>
  <si>
    <t>1090-00-50052</t>
  </si>
  <si>
    <t xml:space="preserve">Total Council </t>
  </si>
  <si>
    <t>Executive Committee</t>
  </si>
  <si>
    <t>Miscellaneous</t>
  </si>
  <si>
    <t>1063-00-70107</t>
  </si>
  <si>
    <t>1063-00-70112</t>
  </si>
  <si>
    <t>Conferences &amp; Official Business</t>
  </si>
  <si>
    <t>1063-00-70114</t>
  </si>
  <si>
    <t>Promotion and Advertising</t>
  </si>
  <si>
    <t>1063-00-70209</t>
  </si>
  <si>
    <t>Volunteer/Staff Appreciation</t>
  </si>
  <si>
    <t>1063-00-70494</t>
  </si>
  <si>
    <t>1063-00-70510</t>
  </si>
  <si>
    <t>Just Desserts</t>
  </si>
  <si>
    <t>1063-00-70538</t>
  </si>
  <si>
    <t>Great Trekker</t>
  </si>
  <si>
    <t>1063-00-70553</t>
  </si>
  <si>
    <t>Executive Team Building</t>
  </si>
  <si>
    <t>1063-00-70215</t>
  </si>
  <si>
    <t>Executive Retreat and Onboarding</t>
  </si>
  <si>
    <t>1063-00-70312</t>
  </si>
  <si>
    <t>Community Involvement</t>
  </si>
  <si>
    <t>1063-00-70700</t>
  </si>
  <si>
    <t>Office Staff Appreciation</t>
  </si>
  <si>
    <t>1063-00-70225</t>
  </si>
  <si>
    <t>Student Leadership Conference</t>
  </si>
  <si>
    <t>AMS Student Engagement Survey</t>
  </si>
  <si>
    <t>1063-00-70533</t>
  </si>
  <si>
    <t>Awards Night</t>
  </si>
  <si>
    <t>Sponsorship</t>
  </si>
  <si>
    <t>1063-00-50060</t>
  </si>
  <si>
    <t>Programming Expenses</t>
  </si>
  <si>
    <t>1063-00-70509</t>
  </si>
  <si>
    <t xml:space="preserve">Great Hall Venue Cost </t>
  </si>
  <si>
    <t>Teleconferencing Equipment</t>
  </si>
  <si>
    <t>1063-00-70103</t>
  </si>
  <si>
    <t>Advocacy Committee</t>
  </si>
  <si>
    <t>1050-17-70010</t>
  </si>
  <si>
    <t xml:space="preserve">Benefits </t>
  </si>
  <si>
    <t>1050-17-70020</t>
  </si>
  <si>
    <t>Governance Committee</t>
  </si>
  <si>
    <t>1050-18-70010</t>
  </si>
  <si>
    <t>1050-18-70020</t>
  </si>
  <si>
    <t>Student Life Committee</t>
  </si>
  <si>
    <t>1050-20-70010</t>
  </si>
  <si>
    <t>1050-20-70020</t>
  </si>
  <si>
    <t>Food &amp; Refreshments</t>
  </si>
  <si>
    <t>1050-20-70080</t>
  </si>
  <si>
    <t>Photocopying &amp; Admin</t>
  </si>
  <si>
    <t>1050-20-70112</t>
  </si>
  <si>
    <t>Project Expense</t>
  </si>
  <si>
    <t>1050-20-70510</t>
  </si>
  <si>
    <t>Project Revenue</t>
  </si>
  <si>
    <t>1050-20-50070</t>
  </si>
  <si>
    <t>Operational Committee</t>
  </si>
  <si>
    <t>1050-22-70010</t>
  </si>
  <si>
    <t>Benefits</t>
  </si>
  <si>
    <t>1050-22-70020</t>
  </si>
  <si>
    <t>Human Resource Committee</t>
  </si>
  <si>
    <t>1050-19-70010</t>
  </si>
  <si>
    <t>1050-19-70020</t>
  </si>
  <si>
    <t>Finance Committee</t>
  </si>
  <si>
    <t>1050--70010</t>
  </si>
  <si>
    <t>1050--70020</t>
  </si>
  <si>
    <t>Indigenous Committee</t>
  </si>
  <si>
    <t>Project Expense (50%)</t>
  </si>
  <si>
    <t>1181-00-70107</t>
  </si>
  <si>
    <t>Professional Development (10%)</t>
  </si>
  <si>
    <t>1181-00-70204</t>
  </si>
  <si>
    <t>Special Initiatives (20%)</t>
  </si>
  <si>
    <t>1181-00-70510</t>
  </si>
  <si>
    <t>Operational Expenses (20%)</t>
  </si>
  <si>
    <t>1181-00-70105</t>
  </si>
  <si>
    <t>Total Committee</t>
  </si>
  <si>
    <t>Salary</t>
  </si>
  <si>
    <t>1061-00-70010</t>
  </si>
  <si>
    <t>1061-00-70020</t>
  </si>
  <si>
    <t>1061-00-70103</t>
  </si>
  <si>
    <t>1061-00-70105</t>
  </si>
  <si>
    <t>1061-00-70107</t>
  </si>
  <si>
    <t>1061-00-70112</t>
  </si>
  <si>
    <t>Conference &amp; Official Business</t>
  </si>
  <si>
    <t>1061-00-70114</t>
  </si>
  <si>
    <t>1061-00-70209</t>
  </si>
  <si>
    <t>Professional Development</t>
  </si>
  <si>
    <t>1061-00-70215</t>
  </si>
  <si>
    <t>1061-00-70333</t>
  </si>
  <si>
    <t>1061-00-70494</t>
  </si>
  <si>
    <t>1061-00-70510</t>
  </si>
  <si>
    <t>Ombudsperson Reserve</t>
  </si>
  <si>
    <t>1061-00-50111</t>
  </si>
  <si>
    <t>Total Ombudsperson</t>
  </si>
  <si>
    <t>Elections</t>
  </si>
  <si>
    <t>Salaries(Poll Clerks)</t>
  </si>
  <si>
    <t>Benefits(Poll Clerks)</t>
  </si>
  <si>
    <t>Salaries(CRO and ECO)</t>
  </si>
  <si>
    <t>Benefits(CRO)</t>
  </si>
  <si>
    <t>Salaries (EA)</t>
  </si>
  <si>
    <t>Benefits(EA)</t>
  </si>
  <si>
    <t>1079-00-70011</t>
  </si>
  <si>
    <t>Employee Benefits</t>
  </si>
  <si>
    <t>1079-00-70020</t>
  </si>
  <si>
    <t>1079-00-70080</t>
  </si>
  <si>
    <t>1079-00-70103</t>
  </si>
  <si>
    <t>1079-00-70105</t>
  </si>
  <si>
    <t>1079-00-70107</t>
  </si>
  <si>
    <t>1079-00-70112</t>
  </si>
  <si>
    <t>1079-00-70209</t>
  </si>
  <si>
    <t>Furniture &amp; Equipment</t>
  </si>
  <si>
    <t>1079-00-70219</t>
  </si>
  <si>
    <t>Staff Appreciation</t>
  </si>
  <si>
    <t>1079-00-70494</t>
  </si>
  <si>
    <t>Candidate Refunds</t>
  </si>
  <si>
    <t>1079-00-70527</t>
  </si>
  <si>
    <t>Forums</t>
  </si>
  <si>
    <t>1079-00-70519</t>
  </si>
  <si>
    <t>Yes/No Committee</t>
  </si>
  <si>
    <t>1079-00-70510</t>
  </si>
  <si>
    <t>Constituency Referenda</t>
  </si>
  <si>
    <t>1079-00-70511</t>
  </si>
  <si>
    <t>Dues and Subscriptions</t>
  </si>
  <si>
    <t xml:space="preserve">Total Elections </t>
  </si>
  <si>
    <t>Referenda</t>
  </si>
  <si>
    <t>Total Referenda</t>
  </si>
  <si>
    <t>Total Elections &amp; Referenda</t>
  </si>
  <si>
    <t xml:space="preserve">Total Student Council </t>
  </si>
  <si>
    <t>Budget 2023/24 Updated</t>
  </si>
  <si>
    <t>Prelim Budget 2023/23</t>
  </si>
  <si>
    <t>Student Services Admin</t>
  </si>
  <si>
    <t>1074</t>
  </si>
  <si>
    <t xml:space="preserve">Salaries &amp; Wages </t>
  </si>
  <si>
    <t>1074-00-70010</t>
  </si>
  <si>
    <t>Part Time Salary</t>
  </si>
  <si>
    <t>1074-00-70011</t>
  </si>
  <si>
    <t>1074-00-70020</t>
  </si>
  <si>
    <t xml:space="preserve">Professional Services </t>
  </si>
  <si>
    <t>1074-00-70204</t>
  </si>
  <si>
    <t xml:space="preserve">Student Staff </t>
  </si>
  <si>
    <t>1074-00-70494</t>
  </si>
  <si>
    <t>Staff Development</t>
  </si>
  <si>
    <t>1074-00-70215</t>
  </si>
  <si>
    <t>Social Events</t>
  </si>
  <si>
    <t>1074-00-70075</t>
  </si>
  <si>
    <t xml:space="preserve">Telephone/Fax </t>
  </si>
  <si>
    <t>1074-00-70103</t>
  </si>
  <si>
    <t>1074-00-70105</t>
  </si>
  <si>
    <t>Staff Recruiting</t>
  </si>
  <si>
    <t>1074-00-70217</t>
  </si>
  <si>
    <t>Legal Expenses</t>
  </si>
  <si>
    <t>1074-00-70160</t>
  </si>
  <si>
    <t>1074-00-70112</t>
  </si>
  <si>
    <t>1074-00-70219</t>
  </si>
  <si>
    <t>1074-00-70299</t>
  </si>
  <si>
    <t>1074-00-70333</t>
  </si>
  <si>
    <t xml:space="preserve">Professional Services/Subscriptions </t>
  </si>
  <si>
    <t>1074-00-70114</t>
  </si>
  <si>
    <t>1074-00-70510</t>
  </si>
  <si>
    <t>1074-00-70209</t>
  </si>
  <si>
    <t>1074-00-70107</t>
  </si>
  <si>
    <t>Work Learn Revenue</t>
  </si>
  <si>
    <t>1074-00-50025</t>
  </si>
  <si>
    <t>Total Senior Manager, Student Services</t>
  </si>
  <si>
    <t>1069</t>
  </si>
  <si>
    <t xml:space="preserve">SSM Salaries </t>
  </si>
  <si>
    <t>1069-00-70010</t>
  </si>
  <si>
    <t xml:space="preserve">SSM Benefit </t>
  </si>
  <si>
    <t>1069-00-70020</t>
  </si>
  <si>
    <t xml:space="preserve">ASSM Salaries </t>
  </si>
  <si>
    <t>1069-02-70010</t>
  </si>
  <si>
    <t xml:space="preserve">ASSM  Benefit </t>
  </si>
  <si>
    <t>1069-02-70020</t>
  </si>
  <si>
    <t>1069-00-70494</t>
  </si>
  <si>
    <t>1069-00-70030</t>
  </si>
  <si>
    <t>1069-00-70103</t>
  </si>
  <si>
    <t>1069-00-70105</t>
  </si>
  <si>
    <t>1069-00-70106</t>
  </si>
  <si>
    <t>1069-00-70112</t>
  </si>
  <si>
    <t>1069-00-70209</t>
  </si>
  <si>
    <t xml:space="preserve">Special &amp; Professional </t>
  </si>
  <si>
    <t>1069-00-70215</t>
  </si>
  <si>
    <t>1069-00-70219</t>
  </si>
  <si>
    <t>1069-00-70333</t>
  </si>
  <si>
    <t xml:space="preserve"> Professional Development and Official Business</t>
  </si>
  <si>
    <t>1069-00-70114</t>
  </si>
  <si>
    <t xml:space="preserve">Team Building </t>
  </si>
  <si>
    <t xml:space="preserve">Staff Training </t>
  </si>
  <si>
    <t xml:space="preserve">Special Projects </t>
  </si>
  <si>
    <t>1069-00-70510</t>
  </si>
  <si>
    <t xml:space="preserve">Services-Shared Expenses </t>
  </si>
  <si>
    <t>1069-00-70107</t>
  </si>
  <si>
    <t xml:space="preserve">Grants and Donations </t>
  </si>
  <si>
    <t>1069-00-50060</t>
  </si>
  <si>
    <t>1069-02-70107</t>
  </si>
  <si>
    <t>Total Student Services Manager</t>
  </si>
  <si>
    <t>Sexual Assault Support Center</t>
  </si>
  <si>
    <t>1189</t>
  </si>
  <si>
    <t>1189-00-70010</t>
  </si>
  <si>
    <t>1189-00-70020</t>
  </si>
  <si>
    <t>1189-01-70010</t>
  </si>
  <si>
    <t>1189-01-70075</t>
  </si>
  <si>
    <t>1189-00-70103</t>
  </si>
  <si>
    <t>1189-00-70105</t>
  </si>
  <si>
    <t>1189-00-70106</t>
  </si>
  <si>
    <t xml:space="preserve">Travel Expense </t>
  </si>
  <si>
    <t>1189-00-70114</t>
  </si>
  <si>
    <t>1189-00-70112</t>
  </si>
  <si>
    <t xml:space="preserve">Staff Development </t>
  </si>
  <si>
    <t>1189-00-70215</t>
  </si>
  <si>
    <t>1189-00-70204</t>
  </si>
  <si>
    <t>1189-00-70209</t>
  </si>
  <si>
    <t xml:space="preserve">Safety &amp; Security </t>
  </si>
  <si>
    <t>1189-00-70301</t>
  </si>
  <si>
    <t>Stakeholder Engagement</t>
  </si>
  <si>
    <t>1189-00-70419</t>
  </si>
  <si>
    <t>1189-00-70217</t>
  </si>
  <si>
    <t>1189-00-70219</t>
  </si>
  <si>
    <t>Campaign Materials</t>
  </si>
  <si>
    <t>1189-00-70306</t>
  </si>
  <si>
    <t>1189-00-70333</t>
  </si>
  <si>
    <t>Dues, Memberships and Subscriptions</t>
  </si>
  <si>
    <t>1189-00-70210</t>
  </si>
  <si>
    <t>1189-00-70494</t>
  </si>
  <si>
    <t>1189-00-70510</t>
  </si>
  <si>
    <t>1189-00-70160</t>
  </si>
  <si>
    <t>Health Supplies</t>
  </si>
  <si>
    <t>1189-00-70119</t>
  </si>
  <si>
    <t>1189-00-70107</t>
  </si>
  <si>
    <t xml:space="preserve">Sub Total </t>
  </si>
  <si>
    <t>Advocacy (SASC)</t>
  </si>
  <si>
    <t>1189-05-70011</t>
  </si>
  <si>
    <t>1189-05-70020</t>
  </si>
  <si>
    <t>1189-05-70105</t>
  </si>
  <si>
    <t>1189-05-70106</t>
  </si>
  <si>
    <t>Staff/Volunteer Appreciation</t>
  </si>
  <si>
    <t>1189-05-70494</t>
  </si>
  <si>
    <t>1189-05-70215</t>
  </si>
  <si>
    <t>Volunteer Training</t>
  </si>
  <si>
    <t>1189-05-70419</t>
  </si>
  <si>
    <t>Furniture and Equipment</t>
  </si>
  <si>
    <t>1189-05-70219</t>
  </si>
  <si>
    <t>1189-05-70333</t>
  </si>
  <si>
    <t>Professional Services</t>
  </si>
  <si>
    <t>1189-05-70204</t>
  </si>
  <si>
    <t>1189-05-70209</t>
  </si>
  <si>
    <t>1189-05-70306</t>
  </si>
  <si>
    <t>Workshop and Events</t>
  </si>
  <si>
    <t>1189-05-70301</t>
  </si>
  <si>
    <t>1189-05-70107</t>
  </si>
  <si>
    <t>***SASC Outreach and Volunteer***</t>
  </si>
  <si>
    <t>1189-03-70011</t>
  </si>
  <si>
    <t>1189-03-70020</t>
  </si>
  <si>
    <t>1189-03-70105</t>
  </si>
  <si>
    <t>1189-03-70106</t>
  </si>
  <si>
    <t>1189-03-70419</t>
  </si>
  <si>
    <t>1189-03-70204</t>
  </si>
  <si>
    <t>Team Building, Training and Staff Development</t>
  </si>
  <si>
    <t>1189-03-70215</t>
  </si>
  <si>
    <t>1189-03-70494</t>
  </si>
  <si>
    <t>1189-03-70219</t>
  </si>
  <si>
    <t>1189-03-70209</t>
  </si>
  <si>
    <t>1189-03-70306</t>
  </si>
  <si>
    <t>1189-03-70301</t>
  </si>
  <si>
    <t>1189-03-70107</t>
  </si>
  <si>
    <t>Healthy Masculinities Leadership Program</t>
  </si>
  <si>
    <t>1189-04-70010</t>
  </si>
  <si>
    <t>1189-04-70020</t>
  </si>
  <si>
    <t>1189-04-70419</t>
  </si>
  <si>
    <t xml:space="preserve"> Administrative Expenses</t>
  </si>
  <si>
    <t>1189-04-70105</t>
  </si>
  <si>
    <t>1189-04-70204</t>
  </si>
  <si>
    <t>1189-04-70215</t>
  </si>
  <si>
    <t>1189-04-70494</t>
  </si>
  <si>
    <t>Health Masculinities Program</t>
  </si>
  <si>
    <t>1189-01-70510</t>
  </si>
  <si>
    <t>1189-04-70209</t>
  </si>
  <si>
    <t>1189-04-70306</t>
  </si>
  <si>
    <t>Workshop &amp; Promotional Material</t>
  </si>
  <si>
    <t>1189-04-70301</t>
  </si>
  <si>
    <t xml:space="preserve">SASC Total </t>
  </si>
  <si>
    <t>1077-00-70010</t>
  </si>
  <si>
    <t>1077-00-70020</t>
  </si>
  <si>
    <t>1077-00-70494</t>
  </si>
  <si>
    <t>1077-00-70075</t>
  </si>
  <si>
    <t>1077-00-70103</t>
  </si>
  <si>
    <t>1077-00-70105</t>
  </si>
  <si>
    <t>Postage/Courier/Freight Charges</t>
  </si>
  <si>
    <t>1077-00-70106</t>
  </si>
  <si>
    <t>1077-00-70107</t>
  </si>
  <si>
    <t>Credit/Debit Card Charges</t>
  </si>
  <si>
    <t>1077-00-70108</t>
  </si>
  <si>
    <t>1077-00-70112</t>
  </si>
  <si>
    <t>1077-00-70299</t>
  </si>
  <si>
    <t>1077-00-70219</t>
  </si>
  <si>
    <t>1077-00-70204</t>
  </si>
  <si>
    <t>Staff Training</t>
  </si>
  <si>
    <t>Automotive</t>
  </si>
  <si>
    <t>1077-00-70205</t>
  </si>
  <si>
    <t>Food Purchases</t>
  </si>
  <si>
    <t>1077-00-70080</t>
  </si>
  <si>
    <t>1077-00-70209</t>
  </si>
  <si>
    <t>Loan and Repayment</t>
  </si>
  <si>
    <t>1077-00-70109</t>
  </si>
  <si>
    <t>1077-00-70220</t>
  </si>
  <si>
    <t>Insurance</t>
  </si>
  <si>
    <t>1077-00-70223</t>
  </si>
  <si>
    <t>1077-00-70510</t>
  </si>
  <si>
    <t>Revenue</t>
  </si>
  <si>
    <t>1077-00-50025</t>
  </si>
  <si>
    <t>Grants and Donations</t>
  </si>
  <si>
    <t>1077-00-50060</t>
  </si>
  <si>
    <t>Miscellaneous Revenue</t>
  </si>
  <si>
    <t>1077-00-50070</t>
  </si>
  <si>
    <t xml:space="preserve">Total Food Bank </t>
  </si>
  <si>
    <t>1152</t>
  </si>
  <si>
    <t>Salaries &amp; Wages (Coordinators)</t>
  </si>
  <si>
    <t>1152-00-70010</t>
  </si>
  <si>
    <t>Salaries &amp; Wages (Staff)</t>
  </si>
  <si>
    <t>1152-00-70011</t>
  </si>
  <si>
    <t>1152-00-70020</t>
  </si>
  <si>
    <t>1152-00-70075</t>
  </si>
  <si>
    <t>1152-00-70103</t>
  </si>
  <si>
    <t>Office Supplies/Postage</t>
  </si>
  <si>
    <t>1152-00-70105</t>
  </si>
  <si>
    <t>1152-00-70223</t>
  </si>
  <si>
    <t>1152-00-70112</t>
  </si>
  <si>
    <t>1152-00-70215</t>
  </si>
  <si>
    <t>1152-00-70217</t>
  </si>
  <si>
    <t>Volunteer Training/Appreciation</t>
  </si>
  <si>
    <t>1152-00-70494</t>
  </si>
  <si>
    <t>1152-00-70219</t>
  </si>
  <si>
    <t>Equipment Maintenance</t>
  </si>
  <si>
    <t>1152-00-70220</t>
  </si>
  <si>
    <t>Promotional items</t>
  </si>
  <si>
    <t>1152-04-70209</t>
  </si>
  <si>
    <t>1152-00-70510</t>
  </si>
  <si>
    <t>1152-00-70107</t>
  </si>
  <si>
    <t>1152-00-50025</t>
  </si>
  <si>
    <t xml:space="preserve">Total Safewalk </t>
  </si>
  <si>
    <t xml:space="preserve">Tutoring </t>
  </si>
  <si>
    <t>1144</t>
  </si>
  <si>
    <t>Salaries (Coordinators)</t>
  </si>
  <si>
    <t>1144-00-70010</t>
  </si>
  <si>
    <t>Wages - Tutors</t>
  </si>
  <si>
    <t>1144-00-70011</t>
  </si>
  <si>
    <t>1144-00-70020</t>
  </si>
  <si>
    <t>1144-00-70075</t>
  </si>
  <si>
    <t xml:space="preserve">Supplies and Materials </t>
  </si>
  <si>
    <t>1144-00-70117</t>
  </si>
  <si>
    <t>Office Supplies &amp; Postage</t>
  </si>
  <si>
    <t>1144-00-70105</t>
  </si>
  <si>
    <t>Printing</t>
  </si>
  <si>
    <t>1144-00-70140</t>
  </si>
  <si>
    <t>1144-00-70112</t>
  </si>
  <si>
    <t>1144-00-70219</t>
  </si>
  <si>
    <t xml:space="preserve">Volunteer Training </t>
  </si>
  <si>
    <t>1144-00-70215</t>
  </si>
  <si>
    <t>1144-00-70494</t>
  </si>
  <si>
    <t>Computer hardware/Software</t>
  </si>
  <si>
    <t>1144-00-70333</t>
  </si>
  <si>
    <t>Promotional Materials</t>
  </si>
  <si>
    <t>1144-00-70209</t>
  </si>
  <si>
    <t>Special Project</t>
  </si>
  <si>
    <t>1144-00-70510</t>
  </si>
  <si>
    <t>1144-00-70107</t>
  </si>
  <si>
    <t>1144-00-50025</t>
  </si>
  <si>
    <t>Residence Tutoring</t>
  </si>
  <si>
    <t>1144-00-50051</t>
  </si>
  <si>
    <t>Contract Tutoring</t>
  </si>
  <si>
    <t>1144-00-50058</t>
  </si>
  <si>
    <t>Review Sessions</t>
  </si>
  <si>
    <t>1144-00-50054</t>
  </si>
  <si>
    <t>1144-00-50070</t>
  </si>
  <si>
    <t>Grant Revenue</t>
  </si>
  <si>
    <t>1144-00-50060</t>
  </si>
  <si>
    <t>Total Tutoring</t>
  </si>
  <si>
    <t xml:space="preserve">Peer Support </t>
  </si>
  <si>
    <t>1159</t>
  </si>
  <si>
    <t>1159-00-50025</t>
  </si>
  <si>
    <t>1159-00-70010</t>
  </si>
  <si>
    <t>1159-00-70020</t>
  </si>
  <si>
    <t>1159-00-70075</t>
  </si>
  <si>
    <t>1159-00-70494</t>
  </si>
  <si>
    <t>1159-00-70103</t>
  </si>
  <si>
    <t>1159-00-70105</t>
  </si>
  <si>
    <t>1159-00-70112</t>
  </si>
  <si>
    <t>1159-00-70219</t>
  </si>
  <si>
    <t>1159-00-70210</t>
  </si>
  <si>
    <t>Staff Recruiting  - (Crim Checks)</t>
  </si>
  <si>
    <t>1159-00-70217</t>
  </si>
  <si>
    <t>Team Builidng, Training and Staff Dev</t>
  </si>
  <si>
    <t>1159-00-70215</t>
  </si>
  <si>
    <t>1159-00-70209</t>
  </si>
  <si>
    <t>Workshops and Outreach</t>
  </si>
  <si>
    <t>1159-00-70301</t>
  </si>
  <si>
    <t>1159-00-70204</t>
  </si>
  <si>
    <t>1159-00-70510</t>
  </si>
  <si>
    <t>1159-00-70107</t>
  </si>
  <si>
    <t xml:space="preserve">Total Peer Support </t>
  </si>
  <si>
    <t xml:space="preserve">Advocacy </t>
  </si>
  <si>
    <t>1147-00-50025</t>
  </si>
  <si>
    <t>Misc Revenue</t>
  </si>
  <si>
    <t>1147-00-50070</t>
  </si>
  <si>
    <t>Hourly Wages</t>
  </si>
  <si>
    <t>1147-00-70011</t>
  </si>
  <si>
    <t>1147-00-70020</t>
  </si>
  <si>
    <t>1147-00-70075</t>
  </si>
  <si>
    <t>1147-00-70105</t>
  </si>
  <si>
    <t>1147-00-70107</t>
  </si>
  <si>
    <t>1147-00-70112</t>
  </si>
  <si>
    <t>1147-00-70219</t>
  </si>
  <si>
    <t>1147-00-70299</t>
  </si>
  <si>
    <t>1147-00-70333</t>
  </si>
  <si>
    <t>1147-00-70209</t>
  </si>
  <si>
    <t>1147-00-70494</t>
  </si>
  <si>
    <t>1147-00-70510</t>
  </si>
  <si>
    <t>Total SSSM</t>
  </si>
  <si>
    <t>Total SSM</t>
  </si>
  <si>
    <t>Total SASC</t>
  </si>
  <si>
    <t>Total Advocacy</t>
  </si>
  <si>
    <t xml:space="preserve">Total Services </t>
  </si>
  <si>
    <t>Preliminary 2025/26</t>
  </si>
  <si>
    <t>Final Budget 24/25</t>
  </si>
  <si>
    <t>Preliminary 2024/25</t>
  </si>
  <si>
    <t xml:space="preserve">Total SAIF Revenue  </t>
  </si>
  <si>
    <t>Total SASC Expense</t>
  </si>
  <si>
    <t>Surplus/Deficit</t>
  </si>
  <si>
    <t>Preliminary Budget 2024/25</t>
  </si>
  <si>
    <t>Reforecast 2023-24</t>
  </si>
  <si>
    <t> </t>
  </si>
  <si>
    <t>WELCOME BACK BBQ REVENUE</t>
  </si>
  <si>
    <t>1146-00-50018</t>
  </si>
  <si>
    <t>SPEAKER REVENUE</t>
  </si>
  <si>
    <t>1146-00-50020</t>
  </si>
  <si>
    <t>WORKSTUDY SUBSIDY/GRANTS</t>
  </si>
  <si>
    <t>1146-00-50025</t>
  </si>
  <si>
    <t>SPECIAL EVENTS REVENUE</t>
  </si>
  <si>
    <t>1146-00-50028</t>
  </si>
  <si>
    <t>SPECIAL PROJECTS REVENUE</t>
  </si>
  <si>
    <t>DONATION, GRANTS, SPONSORSHIP, FUNDRAISING</t>
  </si>
  <si>
    <t>1146-00-50060</t>
  </si>
  <si>
    <t>BOOKING &amp; RENTAL REVENUE</t>
  </si>
  <si>
    <t>1146-00-50063</t>
  </si>
  <si>
    <t>MISCELLANEOUS REVENUE</t>
  </si>
  <si>
    <t>1146-00-50070</t>
  </si>
  <si>
    <t>HALLOWEEN REVENUE</t>
  </si>
  <si>
    <t>1146-00-50183</t>
  </si>
  <si>
    <t>Expenses</t>
  </si>
  <si>
    <t>SALARIES</t>
  </si>
  <si>
    <t>1146-00-70010</t>
  </si>
  <si>
    <t>HOURLY WAGES</t>
  </si>
  <si>
    <t>1146-00-70011</t>
  </si>
  <si>
    <t>CONCERT EXPENSE</t>
  </si>
  <si>
    <t>1146-00-70017</t>
  </si>
  <si>
    <t>EMPLOYEE BENEFITS</t>
  </si>
  <si>
    <t>1146-00-70020</t>
  </si>
  <si>
    <t>MERCHANDISE EXPENSE</t>
  </si>
  <si>
    <t>1146-00-70028</t>
  </si>
  <si>
    <t>SOCIAL EVENTS</t>
  </si>
  <si>
    <t>1146-00-70075</t>
  </si>
  <si>
    <t>TELEPHONE</t>
  </si>
  <si>
    <t>1146-00-70103</t>
  </si>
  <si>
    <t>OFFICE SUPPLIES &amp; POSTAGE</t>
  </si>
  <si>
    <t>1146-00-70105</t>
  </si>
  <si>
    <t>COURIER, DELIVERY, &amp; FREIGHT CHARGES</t>
  </si>
  <si>
    <t>1146-00-70106</t>
  </si>
  <si>
    <t>MISCELLANEOUS EXPENSE</t>
  </si>
  <si>
    <t>1146-00-70107</t>
  </si>
  <si>
    <t>CREDIT/DEBIT CARD CHARGES</t>
  </si>
  <si>
    <t>1146-00-70108</t>
  </si>
  <si>
    <t>PHOTOCOPYING &amp; ADMINISTRATIVE</t>
  </si>
  <si>
    <t>1146-00-70112</t>
  </si>
  <si>
    <t>TRAVEL, PARKING, ACCOMMODATION &amp; CONFERENCE</t>
  </si>
  <si>
    <t>1146-00-70114</t>
  </si>
  <si>
    <t>PHOTOGRAPHY</t>
  </si>
  <si>
    <t>1146-00-70116</t>
  </si>
  <si>
    <t>PRINTING &amp; TYPESETTING</t>
  </si>
  <si>
    <t>1146-00-70140</t>
  </si>
  <si>
    <t>LEGAL FEES</t>
  </si>
  <si>
    <t>1146-00-70160</t>
  </si>
  <si>
    <t xml:space="preserve">FOOD AND BEVERAGE </t>
  </si>
  <si>
    <t>1146-00-70180</t>
  </si>
  <si>
    <t>HALLOWEEN EXPENSE</t>
  </si>
  <si>
    <t>1146-00-70080</t>
  </si>
  <si>
    <t>BOOKING &amp; RENTAL EXPENSE</t>
  </si>
  <si>
    <t>1146-00-70200</t>
  </si>
  <si>
    <t>SECURITY &amp; FIRST AID EXPENSE</t>
  </si>
  <si>
    <t>1146-00-70201</t>
  </si>
  <si>
    <t>PROFESSIONAL DEVELOPMENT/SERVICES</t>
  </si>
  <si>
    <t>1146-00-70204</t>
  </si>
  <si>
    <t>ADVERTISING &amp; PROMOTIONS</t>
  </si>
  <si>
    <t>1146-00-70209</t>
  </si>
  <si>
    <t>DUES, MEMBERSHIPS, &amp; SUBSCRIPTIONS</t>
  </si>
  <si>
    <t>1146-00-70210</t>
  </si>
  <si>
    <t>STAFF INCENTIVES</t>
  </si>
  <si>
    <t>1146-00-70215</t>
  </si>
  <si>
    <t>TEAM BUILDING, TRAINING &amp; STAFF DEVELOPMENT</t>
  </si>
  <si>
    <t>FURNITURE &amp; EQUIPMENT</t>
  </si>
  <si>
    <t>1146-00-70219</t>
  </si>
  <si>
    <t>REPAIRS &amp; MAINTENANCE</t>
  </si>
  <si>
    <t>1146-00-70220</t>
  </si>
  <si>
    <t>DEPRECIATION &amp; AMORTIZATION</t>
  </si>
  <si>
    <t>1146-00-70299</t>
  </si>
  <si>
    <t>UTILITIES AND JANITORIAL</t>
  </si>
  <si>
    <t>1146-00-70300</t>
  </si>
  <si>
    <t>COMPUTER HARDWARE/SOFTWARE &amp; WEBSITE</t>
  </si>
  <si>
    <t>1146-00-70333</t>
  </si>
  <si>
    <t>ALCOHOL EXPENSE</t>
  </si>
  <si>
    <t>1146-00-70082</t>
  </si>
  <si>
    <t>MEDIA EXPENSE</t>
  </si>
  <si>
    <t>1146-00-70411</t>
  </si>
  <si>
    <t>SUPPLIES AND MATERIALS</t>
  </si>
  <si>
    <t>1146-00-70117</t>
  </si>
  <si>
    <t>FILM, VIDEO, AND MOVIE EXPENSE</t>
  </si>
  <si>
    <t>1146-00-70431</t>
  </si>
  <si>
    <t>VOLUNTEER APPERCIATION</t>
  </si>
  <si>
    <t>1146-00-70494</t>
  </si>
  <si>
    <t>SPECIAL PROJECTS</t>
  </si>
  <si>
    <t>1146-00-70510</t>
  </si>
  <si>
    <t>ENTERTAINMENT EXPENSE</t>
  </si>
  <si>
    <t>1146-00-70634</t>
  </si>
  <si>
    <t>LIQUOR LICENSE</t>
  </si>
  <si>
    <t>1146-00-70500</t>
  </si>
  <si>
    <t>SPECIAL EVENTS</t>
  </si>
  <si>
    <t>1146-00-70700</t>
  </si>
  <si>
    <t>SPEAKER EXPENSE</t>
  </si>
  <si>
    <t>1146-00-70820</t>
  </si>
  <si>
    <t>SOCAN FEE</t>
  </si>
  <si>
    <t>1146-00-70905</t>
  </si>
  <si>
    <t>Total</t>
  </si>
  <si>
    <t>Revenues</t>
  </si>
  <si>
    <t>TICKET REVENUE</t>
  </si>
  <si>
    <t>1193-00-50017</t>
  </si>
  <si>
    <t>1193-00-50060</t>
  </si>
  <si>
    <t>FOOD &amp; BEVERAGE REVENUE</t>
  </si>
  <si>
    <t>1193-00-50079</t>
  </si>
  <si>
    <t>1193-00-70010</t>
  </si>
  <si>
    <t>1193-00-70011</t>
  </si>
  <si>
    <t>1193-00-70028</t>
  </si>
  <si>
    <t>FOOD &amp; BEV. EXPENSE</t>
  </si>
  <si>
    <t>1193-00-70080</t>
  </si>
  <si>
    <t>1193-00-70082</t>
  </si>
  <si>
    <t>1193-00-70103</t>
  </si>
  <si>
    <t>MISCELLANEOUS</t>
  </si>
  <si>
    <t>1193-00-70107</t>
  </si>
  <si>
    <t>1193-00-70112</t>
  </si>
  <si>
    <t>1193-00-70140</t>
  </si>
  <si>
    <t>1193-00-70200</t>
  </si>
  <si>
    <t>1193-00-70201</t>
  </si>
  <si>
    <t>WRISTBANDS</t>
  </si>
  <si>
    <t>1193-00-70207</t>
  </si>
  <si>
    <t>1193-00-70209</t>
  </si>
  <si>
    <t>INSURANCE</t>
  </si>
  <si>
    <t>1193-00-70223</t>
  </si>
  <si>
    <t>PRODUCTION EXPENSE</t>
  </si>
  <si>
    <t>1193-00-70315</t>
  </si>
  <si>
    <t>BEER GARDEN EXPENSE</t>
  </si>
  <si>
    <t>1193-00-70336</t>
  </si>
  <si>
    <t>1193-00-70411</t>
  </si>
  <si>
    <t>1193-00-70431</t>
  </si>
  <si>
    <t>1193-00-70500</t>
  </si>
  <si>
    <t>TOILET RENTAL</t>
  </si>
  <si>
    <t>1193-00-70602</t>
  </si>
  <si>
    <t>RIDER HOSPITALITY</t>
  </si>
  <si>
    <t>1193-00-70631</t>
  </si>
  <si>
    <t>1193-00-70634</t>
  </si>
  <si>
    <t>Firstweek</t>
  </si>
  <si>
    <t>1048-00-50017</t>
  </si>
  <si>
    <t>1048-00-50060</t>
  </si>
  <si>
    <t>1048-00-50070</t>
  </si>
  <si>
    <t>KIT SALES</t>
  </si>
  <si>
    <t>1048-00-50081</t>
  </si>
  <si>
    <t>1048-00-70010</t>
  </si>
  <si>
    <t xml:space="preserve">HOURLY WAGES </t>
  </si>
  <si>
    <t>1048-00-70011</t>
  </si>
  <si>
    <t>EMPLOYEE BENIFITS</t>
  </si>
  <si>
    <t>1048-00-70020</t>
  </si>
  <si>
    <t>1148-00-70080</t>
  </si>
  <si>
    <t>1048-00-70028</t>
  </si>
  <si>
    <t xml:space="preserve">TELEPHONE </t>
  </si>
  <si>
    <t>1048-00-70103</t>
  </si>
  <si>
    <t xml:space="preserve"> $                                             -  </t>
  </si>
  <si>
    <t>1048-00-70105</t>
  </si>
  <si>
    <t>1048-00-70106</t>
  </si>
  <si>
    <t>1048-00-70107</t>
  </si>
  <si>
    <t>1048-00-70112</t>
  </si>
  <si>
    <t>TRAVEL, PARKING, ACCOMMODATION, &amp; CONFERENCE</t>
  </si>
  <si>
    <t>1048-00-70114</t>
  </si>
  <si>
    <t>1048-00-70116</t>
  </si>
  <si>
    <t>1048-00-70117</t>
  </si>
  <si>
    <t>1048-00-70200</t>
  </si>
  <si>
    <t>1048-00-70201</t>
  </si>
  <si>
    <t>1048-00-70207</t>
  </si>
  <si>
    <t>1048-00-70209</t>
  </si>
  <si>
    <t>1048-00-70300</t>
  </si>
  <si>
    <t>DEPRECIATION AND AMORTIZATION</t>
  </si>
  <si>
    <t>1048-00-70299</t>
  </si>
  <si>
    <t>1048-00-70315</t>
  </si>
  <si>
    <t>1048-00-70411</t>
  </si>
  <si>
    <t>1048-00-70494</t>
  </si>
  <si>
    <t>FROSH KIT MATERIAL</t>
  </si>
  <si>
    <t>1048-00-70499</t>
  </si>
  <si>
    <t>1048-00-70510</t>
  </si>
  <si>
    <t>1048-00-70634</t>
  </si>
  <si>
    <t>LIVE @ LUNCH EXPENSE</t>
  </si>
  <si>
    <t>1048-00-70700</t>
  </si>
  <si>
    <t>Block Party</t>
  </si>
  <si>
    <t>1196-00-50017</t>
  </si>
  <si>
    <t>1196-00-50060</t>
  </si>
  <si>
    <t>1196-00-50079</t>
  </si>
  <si>
    <t>HOURLY STAFF</t>
  </si>
  <si>
    <t>1196-00-70011</t>
  </si>
  <si>
    <t>SUPPLIES</t>
  </si>
  <si>
    <t>1196-00-70117</t>
  </si>
  <si>
    <t>1196-00-70080</t>
  </si>
  <si>
    <t>1196-00-70082</t>
  </si>
  <si>
    <t>1196-00-70107</t>
  </si>
  <si>
    <t>1196-00-70112</t>
  </si>
  <si>
    <t>1196-00-70140</t>
  </si>
  <si>
    <t>1196-00-70200</t>
  </si>
  <si>
    <t>1196-00-70201</t>
  </si>
  <si>
    <t>1196-00-70207</t>
  </si>
  <si>
    <t>1196-00-70209</t>
  </si>
  <si>
    <t>1196-00-70223</t>
  </si>
  <si>
    <t>1196-00-70315</t>
  </si>
  <si>
    <t>1196-00-70411</t>
  </si>
  <si>
    <t>CONTINGENCY FUND</t>
  </si>
  <si>
    <t>1196-00-70422</t>
  </si>
  <si>
    <t>1196-00-70500</t>
  </si>
  <si>
    <t>1196-00-70602</t>
  </si>
  <si>
    <t>LEGAL</t>
  </si>
  <si>
    <t>1196-00-70160</t>
  </si>
  <si>
    <t>1196-00-70634</t>
  </si>
  <si>
    <t>1196-00-70905</t>
  </si>
  <si>
    <t>Total Events</t>
  </si>
  <si>
    <t>Total WBBBQ</t>
  </si>
  <si>
    <t>Total First Week</t>
  </si>
  <si>
    <t>Total Block Party</t>
  </si>
  <si>
    <t>Total AMS Events</t>
  </si>
  <si>
    <t xml:space="preserve">Reforecast Budget 2023/24 </t>
  </si>
  <si>
    <t>Communications &amp; **DS</t>
  </si>
  <si>
    <t>1195</t>
  </si>
  <si>
    <t xml:space="preserve">Work Learn Revenue </t>
  </si>
  <si>
    <t>1195-00-50025</t>
  </si>
  <si>
    <t>Salaries &amp; Wages - Full Time</t>
  </si>
  <si>
    <t>1195-00-70010</t>
  </si>
  <si>
    <t>Salaries &amp; Wages - Part Time</t>
  </si>
  <si>
    <t>1195-00-70011</t>
  </si>
  <si>
    <t>1195-00-70020</t>
  </si>
  <si>
    <t>1195-00-70075</t>
  </si>
  <si>
    <t>1195-00-70103</t>
  </si>
  <si>
    <t>1195-00-70105</t>
  </si>
  <si>
    <t>1195-00-70106</t>
  </si>
  <si>
    <t>1195-00-70107</t>
  </si>
  <si>
    <t>Credit/Debit</t>
  </si>
  <si>
    <t>1195-00-70108</t>
  </si>
  <si>
    <t>1195-00-70112</t>
  </si>
  <si>
    <t>Furniture Equpment and IT</t>
  </si>
  <si>
    <t>1195-00-70219</t>
  </si>
  <si>
    <t>1195-00-70333</t>
  </si>
  <si>
    <t>Projects, Events and Operations</t>
  </si>
  <si>
    <t>1195-00-70209</t>
  </si>
  <si>
    <t>Team Building, Training</t>
  </si>
  <si>
    <t>1195-00-70215</t>
  </si>
  <si>
    <t>1195-00-70204</t>
  </si>
  <si>
    <t>1195-00-70220</t>
  </si>
  <si>
    <t>1195-00-70114</t>
  </si>
  <si>
    <t>Amortization &amp; Depreciation</t>
  </si>
  <si>
    <t>1195-00-70299</t>
  </si>
  <si>
    <t>1073</t>
  </si>
  <si>
    <t>Salaries and Wages</t>
  </si>
  <si>
    <t>1073-00-70010</t>
  </si>
  <si>
    <t>1073-00-70020</t>
  </si>
  <si>
    <t>1073-00-70103</t>
  </si>
  <si>
    <t>1073-00-70105</t>
  </si>
  <si>
    <t>Postage &amp; Courier</t>
  </si>
  <si>
    <t>1073-00-70106</t>
  </si>
  <si>
    <t>1073-00-70333</t>
  </si>
  <si>
    <t>1073-00-70210</t>
  </si>
  <si>
    <t>1073-00-70112</t>
  </si>
  <si>
    <t>Conference and Official Business</t>
  </si>
  <si>
    <t>1073-00-70114</t>
  </si>
  <si>
    <t>1073-00-70215</t>
  </si>
  <si>
    <t>Special and Professional</t>
  </si>
  <si>
    <t>1073-00-70510</t>
  </si>
  <si>
    <t>1073-00-70107</t>
  </si>
  <si>
    <t>1076</t>
  </si>
  <si>
    <t>1076-00-70010</t>
  </si>
  <si>
    <t>1076-00-70011</t>
  </si>
  <si>
    <t>1076-00-70020</t>
  </si>
  <si>
    <t>1076-00-70103</t>
  </si>
  <si>
    <t>1076-00-70105</t>
  </si>
  <si>
    <t>Depreciation</t>
  </si>
  <si>
    <t>1076-00-70299</t>
  </si>
  <si>
    <t>1076-00-70204</t>
  </si>
  <si>
    <t>Subscriptions</t>
  </si>
  <si>
    <t>1076-00-70210</t>
  </si>
  <si>
    <t>1076-00-70333</t>
  </si>
  <si>
    <t>1076-00-70112</t>
  </si>
  <si>
    <t>1076-00-70114</t>
  </si>
  <si>
    <t>1076-00-70510</t>
  </si>
  <si>
    <t>1076-00-70107</t>
  </si>
  <si>
    <t>Professional development</t>
  </si>
  <si>
    <t>1076-00-70215</t>
  </si>
  <si>
    <t>1076-00-50070</t>
  </si>
  <si>
    <t>Archives and Research</t>
  </si>
  <si>
    <t>1075</t>
  </si>
  <si>
    <t>1075-00-70010</t>
  </si>
  <si>
    <t>1075-00-70025</t>
  </si>
  <si>
    <t>1075-00-70020</t>
  </si>
  <si>
    <t>1075-00-70075</t>
  </si>
  <si>
    <t>1075-00-70103</t>
  </si>
  <si>
    <t>1075-00-70105</t>
  </si>
  <si>
    <t>1075-00-70210</t>
  </si>
  <si>
    <t>1075-00-70112</t>
  </si>
  <si>
    <t>Furniture Equipment and IT</t>
  </si>
  <si>
    <t>1075-00-70219</t>
  </si>
  <si>
    <t>1075-00-70299</t>
  </si>
  <si>
    <t>1075-00-70333</t>
  </si>
  <si>
    <t>1075-00-70204</t>
  </si>
  <si>
    <t>1075-00-70215</t>
  </si>
  <si>
    <t>1075-00-70510</t>
  </si>
  <si>
    <t>1075-00-70107</t>
  </si>
  <si>
    <t>1075-00-50025</t>
  </si>
  <si>
    <t>Total Communication &amp; DS</t>
  </si>
  <si>
    <t>Total Archives</t>
  </si>
  <si>
    <t>Total Ancillary Student Services</t>
  </si>
  <si>
    <t>AMS Businesses Contribution</t>
  </si>
  <si>
    <t xml:space="preserve">Draft Actuals 2022/23 </t>
  </si>
  <si>
    <t xml:space="preserve">Budget 2022/23 </t>
  </si>
  <si>
    <t>Food &amp; Beverage:</t>
  </si>
  <si>
    <t>The Pit</t>
  </si>
  <si>
    <t>Iwanataco</t>
  </si>
  <si>
    <t>Flavour Lab</t>
  </si>
  <si>
    <t>Stellar</t>
  </si>
  <si>
    <t>Gallery Lounge &amp; Patio</t>
  </si>
  <si>
    <t>Nourish</t>
  </si>
  <si>
    <t>Pie "R" Squared</t>
  </si>
  <si>
    <t>Blue Chip</t>
  </si>
  <si>
    <t>Lowercase</t>
  </si>
  <si>
    <t>Ph Tea</t>
  </si>
  <si>
    <t>Honour Roll</t>
  </si>
  <si>
    <t>Grand Noodle Emporium</t>
  </si>
  <si>
    <t>Food &amp; Beverage Admin</t>
  </si>
  <si>
    <t>Central Stores</t>
  </si>
  <si>
    <t>Workshop</t>
  </si>
  <si>
    <t>Business Marketing</t>
  </si>
  <si>
    <t>Commissary Kitchen</t>
  </si>
  <si>
    <t>Sub Total</t>
  </si>
  <si>
    <t>Conference &amp; Catering</t>
  </si>
  <si>
    <t>Total F&amp;B (not including overheads)</t>
  </si>
  <si>
    <t>Total F&amp;B + C&amp;C</t>
  </si>
  <si>
    <t>Retail &amp; Facilities</t>
  </si>
  <si>
    <t>Tenant Services</t>
  </si>
  <si>
    <t>Business Contribution before Indirect Overhead</t>
  </si>
  <si>
    <t>Less:</t>
  </si>
  <si>
    <t>Administration Costs</t>
  </si>
  <si>
    <t xml:space="preserve">Human Resources </t>
  </si>
  <si>
    <t>Information Systems Costs</t>
  </si>
  <si>
    <t>Net Admin, Exec, IT &amp; HR Costs</t>
  </si>
  <si>
    <t>Net Admin, Exec, IT &amp; HR Costs split</t>
  </si>
  <si>
    <t>Net AMS Business Operations</t>
  </si>
  <si>
    <t>Notes</t>
  </si>
  <si>
    <t>Change</t>
  </si>
  <si>
    <t>Certification Expenses Legal - holding</t>
  </si>
  <si>
    <t>increase expense</t>
  </si>
  <si>
    <t>FB and CC Split</t>
  </si>
  <si>
    <t>Certification Salary Adjustments</t>
  </si>
  <si>
    <t>FB and CC</t>
  </si>
  <si>
    <t>CCTV</t>
  </si>
  <si>
    <t xml:space="preserve">increase expense </t>
  </si>
  <si>
    <t>Advocacy - added one staff and increased wages to market</t>
  </si>
  <si>
    <t>Advocacy - Services</t>
  </si>
  <si>
    <t>Nourish Deficit</t>
  </si>
  <si>
    <t xml:space="preserve">Decrease expense </t>
  </si>
  <si>
    <t xml:space="preserve">FB - Nourish </t>
  </si>
  <si>
    <t>CC Offsite Food Sales Decrease - Sage (sales amount not net)</t>
  </si>
  <si>
    <t xml:space="preserve">Decrease in revenue </t>
  </si>
  <si>
    <t>CC</t>
  </si>
  <si>
    <t xml:space="preserve">GNE - Reduced contribution </t>
  </si>
  <si>
    <t xml:space="preserve">Decrease in net contribution </t>
  </si>
  <si>
    <t xml:space="preserve">FB </t>
  </si>
  <si>
    <t xml:space="preserve">Ombuds - full transfer to UBC </t>
  </si>
  <si>
    <t xml:space="preserve">Decrease in revenue  </t>
  </si>
  <si>
    <t xml:space="preserve">VP Student Life and AVP SL </t>
  </si>
  <si>
    <t>Wages, benefits and office expense'</t>
  </si>
  <si>
    <t>Awards Gala</t>
  </si>
  <si>
    <t xml:space="preserve">to keep with actuals </t>
  </si>
  <si>
    <t xml:space="preserve">Clubs Fair </t>
  </si>
  <si>
    <t xml:space="preserve">Exec Orientation/Retreat </t>
  </si>
  <si>
    <t xml:space="preserve">Tenant - add space for Nourish </t>
  </si>
  <si>
    <t xml:space="preserve">increase in net contribution </t>
  </si>
  <si>
    <t>Committee Chair Pay - included all committees - typically not all would be needed but dont want to assume</t>
  </si>
  <si>
    <t xml:space="preserve">increase in expense </t>
  </si>
  <si>
    <t xml:space="preserve">Student Staff wage increase </t>
  </si>
  <si>
    <t xml:space="preserve">Events Restructure </t>
  </si>
  <si>
    <t>increase in expense</t>
  </si>
  <si>
    <t>EI - what are the plan s</t>
  </si>
  <si>
    <t>Increase in Elections due to actuals hours and wage increase</t>
  </si>
  <si>
    <t>Increase in general fee - cpi</t>
  </si>
  <si>
    <t xml:space="preserve">increase in revenue </t>
  </si>
  <si>
    <t>Assistant Manager Services - permanent now</t>
  </si>
  <si>
    <t xml:space="preserve">Project and Event Specialist Role - ending in May </t>
  </si>
  <si>
    <t>Open office workspace changes</t>
  </si>
  <si>
    <t>Nest 24/7</t>
  </si>
  <si>
    <t>Printers</t>
  </si>
  <si>
    <t>Club Booking</t>
  </si>
  <si>
    <t>Childcare space</t>
  </si>
  <si>
    <t>AMS Foundation? or tap int UBC</t>
  </si>
  <si>
    <t xml:space="preserve">Software upgrades - club transactions? </t>
  </si>
  <si>
    <t xml:space="preserve">Consolodate process - </t>
  </si>
  <si>
    <t>Expense management</t>
  </si>
  <si>
    <t>JV and invoices to Continia</t>
  </si>
  <si>
    <t>Lobby week - fed and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</si>
</sst>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 &quot;&quot;$&quot;* #,##0.00&quot; &quot;;&quot; &quot;&quot;$&quot;* \(#,##0.00\);&quot; &quot;&quot;$&quot;* &quot;-&quot;??&quot; &quot;"/>
    <numFmt numFmtId="168" formatCode="&quot; &quot;&quot;$&quot;* #,##0.00&quot; &quot;;&quot;-&quot;&quot;$&quot;* #,##0.00&quot; &quot;;&quot; &quot;&quot;$&quot;* &quot;-&quot;??&quot; &quot;"/>
    <numFmt numFmtId="169" formatCode="_(&quot;$&quot;* #,##0_);_(&quot;$&quot;* \(#,##0\);_(&quot;$&quot;* &quot;-&quot;??_);_(@_)"/>
    <numFmt numFmtId="170" formatCode="&quot; &quot;&quot;$&quot;* #,##0&quot; &quot;;&quot; &quot;&quot;$&quot;* \(#,##0\);&quot; &quot;&quot;$&quot;* &quot;-&quot;??&quot; &quot;"/>
    <numFmt numFmtId="171" formatCode="_-[$$-1009]* #,##0.00_-;\-[$$-1009]* #,##0.00_-;_-[$$-1009]* &quot;-&quot;??_-;_-@_-"/>
    <numFmt numFmtId="172" formatCode="_-&quot;$&quot;* #,##0_-;\-&quot;$&quot;* #,##0_-;_-&quot;$&quot;* &quot;-&quot;??_-;_-@_-"/>
    <numFmt numFmtId="173" formatCode="_([$$-409]* #,##0.00_);_([$$-409]* \(#,##0.00\);_([$$-409]* &quot;-&quot;??_);_(@_)"/>
    <numFmt numFmtId="174" formatCode="&quot;$&quot;#,##0.00"/>
    <numFmt numFmtId="175" formatCode="_-&quot;$&quot;* #,##0.00_-;\-&quot;$&quot;* #,##0.00_-;_-&quot;$&quot;* &quot;-&quot;_-;_-@_-"/>
    <numFmt numFmtId="176" formatCode="_([$$-409]* #,##0.00000_);_([$$-409]* \(#,##0.00000\);_([$$-409]* &quot;-&quot;?????_);_(@_)"/>
    <numFmt numFmtId="177" formatCode="_([$$-409]* #,##0.0_);_([$$-409]* \(#,##0.0\);_([$$-409]* &quot;-&quot;??_);_(@_)"/>
  </numFmts>
  <fonts count="24">
    <font>
      <sz val="10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color rgb="FF000000"/>
      <name val="Arial"/>
      <family val="2"/>
    </font>
    <font>
      <b/>
      <sz val="11"/>
      <color theme="2"/>
      <name val="Calibri"/>
      <family val="2"/>
    </font>
    <font>
      <sz val="10"/>
      <name val="Arial"/>
      <family val="2"/>
    </font>
    <font>
      <b/>
      <sz val="12"/>
      <color rgb="FFFA7D00"/>
      <name val="Arial"/>
      <family val="2"/>
      <scheme val="minor"/>
    </font>
    <font>
      <b/>
      <sz val="10"/>
      <color rgb="FF000000"/>
      <name val="Arial"/>
      <family val="2"/>
    </font>
    <font>
      <b/>
      <sz val="16"/>
      <color rgb="FFFFFFFF"/>
      <name val="Calibri"/>
      <family val="2"/>
    </font>
    <font>
      <b/>
      <sz val="11"/>
      <name val="Calibri"/>
      <family val="2"/>
    </font>
    <font>
      <b/>
      <u/>
      <sz val="11"/>
      <color rgb="FF000000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1498764000366222"/>
        <bgColor indexed="64"/>
      </patternFill>
    </fill>
    <fill>
      <patternFill patternType="solid">
        <fgColor theme="2" tint="-4.986724448377941E-2"/>
        <bgColor indexed="64"/>
      </patternFill>
    </fill>
    <fill>
      <patternFill patternType="solid">
        <fgColor theme="2" tint="-0.24985503707998902"/>
        <bgColor indexed="64"/>
      </patternFill>
    </fill>
    <fill>
      <patternFill patternType="solid">
        <fgColor theme="2" tint="-9.985656300546282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0691854609822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2" tint="-4.9897762993255407E-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21366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</fills>
  <borders count="1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2" tint="-4.986724448377941E-2"/>
      </left>
      <right style="thin">
        <color theme="2" tint="-4.986724448377941E-2"/>
      </right>
      <top style="thin">
        <color theme="2" tint="-4.986724448377941E-2"/>
      </top>
      <bottom style="thin">
        <color theme="2" tint="-4.986724448377941E-2"/>
      </bottom>
      <diagonal/>
    </border>
    <border>
      <left style="thin">
        <color theme="2" tint="-9.985656300546282E-2"/>
      </left>
      <right style="thin">
        <color theme="2" tint="-9.985656300546282E-2"/>
      </right>
      <top style="thin">
        <color theme="2" tint="-9.985656300546282E-2"/>
      </top>
      <bottom style="thin">
        <color theme="2" tint="-9.985656300546282E-2"/>
      </bottom>
      <diagonal/>
    </border>
    <border>
      <left style="thin">
        <color theme="2" tint="-4.986724448377941E-2"/>
      </left>
      <right style="thin">
        <color theme="2" tint="-4.986724448377941E-2"/>
      </right>
      <top style="thin">
        <color theme="2" tint="-4.986724448377941E-2"/>
      </top>
      <bottom/>
      <diagonal/>
    </border>
    <border>
      <left/>
      <right/>
      <top/>
      <bottom style="medium">
        <color theme="1"/>
      </bottom>
      <diagonal/>
    </border>
    <border>
      <left style="thin">
        <color theme="2" tint="-9.985656300546282E-2"/>
      </left>
      <right style="thin">
        <color theme="2" tint="-9.985656300546282E-2"/>
      </right>
      <top/>
      <bottom style="thin">
        <color theme="2" tint="-9.985656300546282E-2"/>
      </bottom>
      <diagonal/>
    </border>
    <border>
      <left style="thin">
        <color theme="2" tint="-4.986724448377941E-2"/>
      </left>
      <right style="thin">
        <color theme="2" tint="-4.986724448377941E-2"/>
      </right>
      <top style="medium">
        <color theme="1"/>
      </top>
      <bottom style="thin">
        <color theme="2" tint="-4.986724448377941E-2"/>
      </bottom>
      <diagonal/>
    </border>
    <border>
      <left style="thin">
        <color theme="2" tint="-4.986724448377941E-2"/>
      </left>
      <right style="thin">
        <color theme="2" tint="-4.986724448377941E-2"/>
      </right>
      <top/>
      <bottom style="thin">
        <color theme="2" tint="-4.986724448377941E-2"/>
      </bottom>
      <diagonal/>
    </border>
    <border>
      <left style="thin">
        <color theme="2" tint="-4.986724448377941E-2"/>
      </left>
      <right style="thin">
        <color theme="2" tint="-4.986724448377941E-2"/>
      </right>
      <top style="thin">
        <color theme="2" tint="-4.986724448377941E-2"/>
      </top>
      <bottom style="medium">
        <color theme="1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2" tint="-9.985656300546282E-2"/>
      </left>
      <right style="thin">
        <color theme="2" tint="-9.985656300546282E-2"/>
      </right>
      <top/>
      <bottom/>
      <diagonal/>
    </border>
    <border>
      <left style="thin">
        <color theme="2" tint="-4.986724448377941E-2"/>
      </left>
      <right style="thin">
        <color theme="2" tint="-4.986724448377941E-2"/>
      </right>
      <top style="thin">
        <color theme="2" tint="-4.986724448377941E-2"/>
      </top>
      <bottom style="medium">
        <color theme="3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2" tint="-4.986724448377941E-2"/>
      </left>
      <right/>
      <top style="thin">
        <color theme="2" tint="-4.986724448377941E-2"/>
      </top>
      <bottom style="thin">
        <color theme="2" tint="-4.986724448377941E-2"/>
      </bottom>
      <diagonal/>
    </border>
    <border>
      <left style="thin">
        <color theme="2" tint="-4.986724448377941E-2"/>
      </left>
      <right style="thin">
        <color theme="2" tint="-4.986724448377941E-2"/>
      </right>
      <top style="medium">
        <color theme="3"/>
      </top>
      <bottom style="thin">
        <color theme="2" tint="-4.986724448377941E-2"/>
      </bottom>
      <diagonal/>
    </border>
    <border>
      <left style="medium">
        <color theme="3"/>
      </left>
      <right style="thin">
        <color theme="2" tint="-4.986724448377941E-2"/>
      </right>
      <top style="medium">
        <color theme="3"/>
      </top>
      <bottom/>
      <diagonal/>
    </border>
    <border>
      <left style="thin">
        <color theme="2" tint="-4.986724448377941E-2"/>
      </left>
      <right style="thin">
        <color theme="2" tint="-4.986724448377941E-2"/>
      </right>
      <top style="medium">
        <color theme="3"/>
      </top>
      <bottom/>
      <diagonal/>
    </border>
    <border>
      <left style="thin">
        <color theme="2" tint="-0.1498764000366222"/>
      </left>
      <right/>
      <top/>
      <bottom/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2" tint="-0.1498764000366222"/>
      </top>
      <bottom style="thin">
        <color theme="0" tint="-0.1498764000366222"/>
      </bottom>
      <diagonal/>
    </border>
    <border>
      <left style="thin">
        <color theme="2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2" tint="-0.1498764000366222"/>
      </left>
      <right style="thin">
        <color theme="0" tint="-0.1498764000366222"/>
      </right>
      <top style="thin">
        <color theme="2" tint="-0.14987640003662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2" tint="-0.1498764000366222"/>
      </left>
      <right style="thin">
        <color theme="2" tint="-0.1498764000366222"/>
      </right>
      <top style="thin">
        <color theme="2" tint="-0.1498764000366222"/>
      </top>
      <bottom style="thin">
        <color theme="2" tint="-0.1498764000366222"/>
      </bottom>
      <diagonal/>
    </border>
    <border>
      <left style="medium">
        <color theme="3"/>
      </left>
      <right/>
      <top style="thin">
        <color theme="2" tint="-4.986724448377941E-2"/>
      </top>
      <bottom style="thin">
        <color theme="2" tint="-4.986724448377941E-2"/>
      </bottom>
      <diagonal/>
    </border>
    <border>
      <left style="thin">
        <color theme="2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2" tint="-0.1498764000366222"/>
      </left>
      <right style="thin">
        <color theme="2" tint="-0.1498764000366222"/>
      </right>
      <top/>
      <bottom style="thin">
        <color theme="2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/>
      <right/>
      <top style="medium">
        <color theme="3"/>
      </top>
      <bottom style="thin">
        <color theme="2" tint="-4.986724448377941E-2"/>
      </bottom>
      <diagonal/>
    </border>
    <border>
      <left/>
      <right/>
      <top style="thin">
        <color theme="2" tint="-4.986724448377941E-2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2" tint="-4.986724448377941E-2"/>
      </right>
      <top style="thin">
        <color theme="2" tint="-4.986724448377941E-2"/>
      </top>
      <bottom style="thin">
        <color theme="2" tint="-4.986724448377941E-2"/>
      </bottom>
      <diagonal/>
    </border>
    <border>
      <left/>
      <right/>
      <top style="thin">
        <color theme="2" tint="-0.1498764000366222"/>
      </top>
      <bottom/>
      <diagonal/>
    </border>
    <border>
      <left style="thin">
        <color theme="2" tint="-4.986724448377941E-2"/>
      </left>
      <right/>
      <top style="thin">
        <color theme="2" tint="-4.986724448377941E-2"/>
      </top>
      <bottom style="medium">
        <color theme="1"/>
      </bottom>
      <diagonal/>
    </border>
    <border>
      <left style="thin">
        <color theme="2" tint="-4.986724448377941E-2"/>
      </left>
      <right/>
      <top style="medium">
        <color theme="1"/>
      </top>
      <bottom style="thin">
        <color theme="2" tint="-4.986724448377941E-2"/>
      </bottom>
      <diagonal/>
    </border>
    <border>
      <left style="thin">
        <color theme="2" tint="-4.986724448377941E-2"/>
      </left>
      <right/>
      <top style="thin">
        <color theme="2" tint="-4.986724448377941E-2"/>
      </top>
      <bottom/>
      <diagonal/>
    </border>
    <border>
      <left style="thin">
        <color theme="2" tint="-4.986724448377941E-2"/>
      </left>
      <right/>
      <top style="medium">
        <color theme="3"/>
      </top>
      <bottom style="thin">
        <color theme="2" tint="-4.986724448377941E-2"/>
      </bottom>
      <diagonal/>
    </border>
    <border>
      <left style="thin">
        <color theme="2" tint="-4.986724448377941E-2"/>
      </left>
      <right/>
      <top style="thin">
        <color theme="2" tint="-4.986724448377941E-2"/>
      </top>
      <bottom style="medium">
        <color theme="3"/>
      </bottom>
      <diagonal/>
    </border>
    <border>
      <left/>
      <right/>
      <top style="thin">
        <color theme="0" tint="-0.1498764000366222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2" tint="-4.986724448377941E-2"/>
      </left>
      <right/>
      <top/>
      <bottom style="thin">
        <color theme="2" tint="-4.986724448377941E-2"/>
      </bottom>
      <diagonal/>
    </border>
    <border>
      <left style="thin">
        <color theme="2" tint="-9.985656300546282E-2"/>
      </left>
      <right/>
      <top/>
      <bottom style="thin">
        <color theme="2" tint="-9.985656300546282E-2"/>
      </bottom>
      <diagonal/>
    </border>
    <border>
      <left style="thin">
        <color theme="2" tint="-9.985656300546282E-2"/>
      </left>
      <right/>
      <top style="thin">
        <color theme="2" tint="-9.985656300546282E-2"/>
      </top>
      <bottom style="medium">
        <color theme="1"/>
      </bottom>
      <diagonal/>
    </border>
    <border>
      <left style="thin">
        <color theme="2" tint="-9.985656300546282E-2"/>
      </left>
      <right/>
      <top/>
      <bottom/>
      <diagonal/>
    </border>
    <border>
      <left style="thin">
        <color theme="2" tint="-9.985656300546282E-2"/>
      </left>
      <right/>
      <top style="thin">
        <color theme="2" tint="-9.985656300546282E-2"/>
      </top>
      <bottom style="thin">
        <color theme="2" tint="-9.985656300546282E-2"/>
      </bottom>
      <diagonal/>
    </border>
    <border>
      <left/>
      <right/>
      <top style="thin">
        <color theme="2" tint="-4.986724448377941E-2"/>
      </top>
      <bottom style="thin">
        <color theme="2" tint="-4.986724448377941E-2"/>
      </bottom>
      <diagonal/>
    </border>
    <border>
      <left style="medium">
        <color rgb="FF000000"/>
      </left>
      <right style="thin">
        <color theme="2" tint="-4.986724448377941E-2"/>
      </right>
      <top style="thin">
        <color theme="2" tint="-4.986724448377941E-2"/>
      </top>
      <bottom style="thin">
        <color theme="2" tint="-4.986724448377941E-2"/>
      </bottom>
      <diagonal/>
    </border>
    <border>
      <left style="thin">
        <color theme="2" tint="-4.986724448377941E-2"/>
      </left>
      <right/>
      <top style="medium">
        <color theme="3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theme="2" tint="-4.986724448377941E-2"/>
      </right>
      <top style="medium">
        <color rgb="FF000000"/>
      </top>
      <bottom style="thin">
        <color theme="2" tint="-4.986724448377941E-2"/>
      </bottom>
      <diagonal/>
    </border>
    <border>
      <left/>
      <right/>
      <top style="medium">
        <color rgb="FF000000"/>
      </top>
      <bottom style="thin">
        <color theme="2" tint="-4.986724448377941E-2"/>
      </bottom>
      <diagonal/>
    </border>
    <border>
      <left/>
      <right style="medium">
        <color rgb="FF000000"/>
      </right>
      <top style="medium">
        <color rgb="FF000000"/>
      </top>
      <bottom style="thin">
        <color theme="2" tint="-4.986724448377941E-2"/>
      </bottom>
      <diagonal/>
    </border>
    <border>
      <left style="medium">
        <color rgb="FF000000"/>
      </left>
      <right style="thin">
        <color theme="2" tint="-4.986724448377941E-2"/>
      </right>
      <top style="thin">
        <color theme="2" tint="-4.986724448377941E-2"/>
      </top>
      <bottom style="medium">
        <color theme="3"/>
      </bottom>
      <diagonal/>
    </border>
    <border>
      <left/>
      <right style="medium">
        <color rgb="FF000000"/>
      </right>
      <top style="thin">
        <color theme="2" tint="-4.986724448377941E-2"/>
      </top>
      <bottom style="medium">
        <color theme="3"/>
      </bottom>
      <diagonal/>
    </border>
    <border>
      <left style="medium">
        <color rgb="FF000000"/>
      </left>
      <right style="thin">
        <color theme="2" tint="-4.986724448377941E-2"/>
      </right>
      <top style="medium">
        <color theme="3"/>
      </top>
      <bottom style="thin">
        <color theme="2" tint="-4.986724448377941E-2"/>
      </bottom>
      <diagonal/>
    </border>
    <border>
      <left/>
      <right style="medium">
        <color rgb="FF000000"/>
      </right>
      <top style="medium">
        <color theme="3"/>
      </top>
      <bottom style="thin">
        <color theme="2" tint="-4.986724448377941E-2"/>
      </bottom>
      <diagonal/>
    </border>
    <border>
      <left/>
      <right style="medium">
        <color rgb="FF000000"/>
      </right>
      <top style="thin">
        <color theme="2" tint="-4.986724448377941E-2"/>
      </top>
      <bottom style="thin">
        <color theme="2" tint="-4.986724448377941E-2"/>
      </bottom>
      <diagonal/>
    </border>
    <border>
      <left style="medium">
        <color rgb="FF000000"/>
      </left>
      <right style="thin">
        <color theme="2" tint="-4.986724448377941E-2"/>
      </right>
      <top style="thin">
        <color theme="2" tint="-4.986724448377941E-2"/>
      </top>
      <bottom style="medium">
        <color rgb="FF000000"/>
      </bottom>
      <diagonal/>
    </border>
    <border>
      <left/>
      <right/>
      <top style="thin">
        <color theme="2" tint="-4.986724448377941E-2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theme="2" tint="-0.1498764000366222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theme="2" tint="-4.986724448377941E-2"/>
      </top>
      <bottom style="thin">
        <color theme="2" tint="-4.986724448377941E-2"/>
      </bottom>
      <diagonal/>
    </border>
    <border>
      <left/>
      <right style="thin">
        <color theme="2" tint="-4.986724448377941E-2"/>
      </right>
      <top style="medium">
        <color rgb="FF000000"/>
      </top>
      <bottom style="thin">
        <color theme="2" tint="-4.986724448377941E-2"/>
      </bottom>
      <diagonal/>
    </border>
    <border>
      <left style="thin">
        <color theme="2" tint="-4.986724448377941E-2"/>
      </left>
      <right style="medium">
        <color theme="1"/>
      </right>
      <top style="medium">
        <color rgb="FF000000"/>
      </top>
      <bottom style="thin">
        <color theme="2" tint="-4.986724448377941E-2"/>
      </bottom>
      <diagonal/>
    </border>
    <border>
      <left style="thin">
        <color theme="2" tint="-4.986724448377941E-2"/>
      </left>
      <right style="thin">
        <color theme="2" tint="-4.986724448377941E-2"/>
      </right>
      <top style="medium">
        <color rgb="FF000000"/>
      </top>
      <bottom style="thin">
        <color theme="2" tint="-4.986724448377941E-2"/>
      </bottom>
      <diagonal/>
    </border>
    <border>
      <left style="thin">
        <color theme="2" tint="-4.986724448377941E-2"/>
      </left>
      <right style="medium">
        <color rgb="FF000000"/>
      </right>
      <top style="medium">
        <color rgb="FF000000"/>
      </top>
      <bottom style="thin">
        <color theme="2" tint="-4.986724448377941E-2"/>
      </bottom>
      <diagonal/>
    </border>
    <border>
      <left style="thin">
        <color theme="2" tint="-4.986724448377941E-2"/>
      </left>
      <right style="medium">
        <color rgb="FF000000"/>
      </right>
      <top style="thin">
        <color theme="2" tint="-4.986724448377941E-2"/>
      </top>
      <bottom style="thin">
        <color theme="2" tint="-4.986724448377941E-2"/>
      </bottom>
      <diagonal/>
    </border>
    <border>
      <left style="medium">
        <color rgb="FF000000"/>
      </left>
      <right style="thin">
        <color theme="2" tint="-4.986724448377941E-2"/>
      </right>
      <top style="thin">
        <color theme="1"/>
      </top>
      <bottom style="medium">
        <color rgb="FF000000"/>
      </bottom>
      <diagonal/>
    </border>
    <border>
      <left/>
      <right style="thin">
        <color theme="2" tint="-4.986724448377941E-2"/>
      </right>
      <top style="thin">
        <color theme="1"/>
      </top>
      <bottom style="medium">
        <color rgb="FF000000"/>
      </bottom>
      <diagonal/>
    </border>
    <border>
      <left/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medium">
        <color rgb="FF000000"/>
      </left>
      <right style="thin">
        <color theme="2" tint="-4.986724448377941E-2"/>
      </right>
      <top/>
      <bottom/>
      <diagonal/>
    </border>
    <border>
      <left/>
      <right style="thin">
        <color theme="2" tint="-4.986724448377941E-2"/>
      </right>
      <top/>
      <bottom/>
      <diagonal/>
    </border>
    <border>
      <left style="thin">
        <color theme="2" tint="-4.986724448377941E-2"/>
      </left>
      <right/>
      <top style="medium">
        <color rgb="FF000000"/>
      </top>
      <bottom style="thin">
        <color theme="2" tint="-4.986724448377941E-2"/>
      </bottom>
      <diagonal/>
    </border>
    <border>
      <left style="medium">
        <color rgb="FF000000"/>
      </left>
      <right style="thin">
        <color theme="2" tint="-4.986724448377941E-2"/>
      </right>
      <top style="thin">
        <color theme="2" tint="-4.986724448377941E-2"/>
      </top>
      <bottom style="medium">
        <color theme="1"/>
      </bottom>
      <diagonal/>
    </border>
    <border>
      <left style="thin">
        <color theme="2" tint="-4.986724448377941E-2"/>
      </left>
      <right style="medium">
        <color rgb="FF000000"/>
      </right>
      <top style="thin">
        <color theme="2" tint="-4.986724448377941E-2"/>
      </top>
      <bottom style="medium">
        <color theme="1"/>
      </bottom>
      <diagonal/>
    </border>
    <border>
      <left style="medium">
        <color rgb="FF000000"/>
      </left>
      <right style="thin">
        <color theme="2" tint="-4.986724448377941E-2"/>
      </right>
      <top style="medium">
        <color theme="1"/>
      </top>
      <bottom style="thin">
        <color theme="2" tint="-4.986724448377941E-2"/>
      </bottom>
      <diagonal/>
    </border>
    <border>
      <left style="thin">
        <color theme="2" tint="-4.986724448377941E-2"/>
      </left>
      <right style="medium">
        <color rgb="FF000000"/>
      </right>
      <top style="medium">
        <color theme="1"/>
      </top>
      <bottom style="thin">
        <color theme="2" tint="-4.986724448377941E-2"/>
      </bottom>
      <diagonal/>
    </border>
    <border>
      <left style="medium">
        <color rgb="FF000000"/>
      </left>
      <right style="thin">
        <color theme="2" tint="-4.986724448377941E-2"/>
      </right>
      <top style="thin">
        <color theme="2" tint="-4.986724448377941E-2"/>
      </top>
      <bottom/>
      <diagonal/>
    </border>
    <border>
      <left style="thin">
        <color theme="2" tint="-4.986724448377941E-2"/>
      </left>
      <right style="medium">
        <color rgb="FF000000"/>
      </right>
      <top style="thin">
        <color theme="2" tint="-4.986724448377941E-2"/>
      </top>
      <bottom/>
      <diagonal/>
    </border>
    <border>
      <left style="thin">
        <color theme="2" tint="-4.986724448377941E-2"/>
      </left>
      <right style="medium">
        <color rgb="FF000000"/>
      </right>
      <top style="medium">
        <color theme="3"/>
      </top>
      <bottom style="thin">
        <color theme="2" tint="-4.986724448377941E-2"/>
      </bottom>
      <diagonal/>
    </border>
    <border>
      <left style="thin">
        <color theme="2" tint="-4.986724448377941E-2"/>
      </left>
      <right style="medium">
        <color rgb="FF000000"/>
      </right>
      <top/>
      <bottom style="thin">
        <color theme="2" tint="-4.986724448377941E-2"/>
      </bottom>
      <diagonal/>
    </border>
    <border>
      <left style="thin">
        <color theme="2" tint="-4.986724448377941E-2"/>
      </left>
      <right style="medium">
        <color rgb="FF000000"/>
      </right>
      <top style="thin">
        <color theme="2" tint="-4.986724448377941E-2"/>
      </top>
      <bottom style="medium">
        <color theme="3"/>
      </bottom>
      <diagonal/>
    </border>
    <border>
      <left style="thin">
        <color theme="2" tint="-4.986724448377941E-2"/>
      </left>
      <right style="thin">
        <color theme="2" tint="-4.986724448377941E-2"/>
      </right>
      <top style="thin">
        <color theme="2" tint="-4.986724448377941E-2"/>
      </top>
      <bottom style="medium">
        <color rgb="FF000000"/>
      </bottom>
      <diagonal/>
    </border>
    <border>
      <left style="thin">
        <color theme="2" tint="-4.986724448377941E-2"/>
      </left>
      <right/>
      <top style="thin">
        <color theme="2" tint="-4.986724448377941E-2"/>
      </top>
      <bottom style="medium">
        <color rgb="FF000000"/>
      </bottom>
      <diagonal/>
    </border>
    <border>
      <left style="thin">
        <color theme="2" tint="-4.986724448377941E-2"/>
      </left>
      <right style="medium">
        <color rgb="FF000000"/>
      </right>
      <top style="thin">
        <color theme="2" tint="-4.986724448377941E-2"/>
      </top>
      <bottom style="medium">
        <color rgb="FF000000"/>
      </bottom>
      <diagonal/>
    </border>
    <border>
      <left style="medium">
        <color rgb="FF000000"/>
      </left>
      <right style="thin">
        <color theme="2" tint="-4.986724448377941E-2"/>
      </right>
      <top/>
      <bottom style="thin">
        <color theme="2" tint="-4.986724448377941E-2"/>
      </bottom>
      <diagonal/>
    </border>
    <border>
      <left style="thin">
        <color theme="2" tint="-9.985656300546282E-2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theme="1"/>
      </bottom>
      <diagonal/>
    </border>
    <border>
      <left/>
      <right style="medium">
        <color rgb="FF000000"/>
      </right>
      <top/>
      <bottom style="medium">
        <color theme="1"/>
      </bottom>
      <diagonal/>
    </border>
    <border>
      <left style="medium">
        <color rgb="FF000000"/>
      </left>
      <right style="thin">
        <color theme="2" tint="-9.985656300546282E-2"/>
      </right>
      <top/>
      <bottom style="thin">
        <color theme="2" tint="-9.985656300546282E-2"/>
      </bottom>
      <diagonal/>
    </border>
    <border>
      <left style="thin">
        <color theme="2" tint="-9.985656300546282E-2"/>
      </left>
      <right style="medium">
        <color rgb="FF000000"/>
      </right>
      <top/>
      <bottom style="thin">
        <color theme="2" tint="-9.985656300546282E-2"/>
      </bottom>
      <diagonal/>
    </border>
    <border>
      <left style="medium">
        <color rgb="FF000000"/>
      </left>
      <right style="thin">
        <color theme="2" tint="-9.985656300546282E-2"/>
      </right>
      <top style="thin">
        <color theme="2" tint="-9.985656300546282E-2"/>
      </top>
      <bottom style="thin">
        <color theme="2" tint="-9.985656300546282E-2"/>
      </bottom>
      <diagonal/>
    </border>
    <border>
      <left style="thin">
        <color theme="2" tint="-9.985656300546282E-2"/>
      </left>
      <right style="medium">
        <color rgb="FF000000"/>
      </right>
      <top style="thin">
        <color theme="2" tint="-9.985656300546282E-2"/>
      </top>
      <bottom style="thin">
        <color theme="2" tint="-9.985656300546282E-2"/>
      </bottom>
      <diagonal/>
    </border>
    <border>
      <left style="medium">
        <color rgb="FF000000"/>
      </left>
      <right style="thin">
        <color theme="2" tint="-9.985656300546282E-2"/>
      </right>
      <top style="thin">
        <color theme="2" tint="-9.985656300546282E-2"/>
      </top>
      <bottom style="medium">
        <color rgb="FF000000"/>
      </bottom>
      <diagonal/>
    </border>
    <border>
      <left style="thin">
        <color theme="2" tint="-9.985656300546282E-2"/>
      </left>
      <right style="thin">
        <color theme="2" tint="-9.985656300546282E-2"/>
      </right>
      <top style="thin">
        <color theme="2" tint="-9.985656300546282E-2"/>
      </top>
      <bottom style="medium">
        <color rgb="FF000000"/>
      </bottom>
      <diagonal/>
    </border>
    <border>
      <left style="thin">
        <color theme="2" tint="-9.985656300546282E-2"/>
      </left>
      <right/>
      <top style="thin">
        <color theme="2" tint="-9.985656300546282E-2"/>
      </top>
      <bottom style="medium">
        <color rgb="FF000000"/>
      </bottom>
      <diagonal/>
    </border>
    <border>
      <left style="thin">
        <color theme="2" tint="-9.985656300546282E-2"/>
      </left>
      <right style="medium">
        <color rgb="FF000000"/>
      </right>
      <top style="thin">
        <color theme="2" tint="-9.985656300546282E-2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theme="2" tint="-4.986724448377941E-2"/>
      </top>
      <bottom style="medium">
        <color rgb="FF000000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2" tint="-9.985656300546282E-2"/>
      </bottom>
      <diagonal/>
    </border>
    <border>
      <left/>
      <right/>
      <top style="thin">
        <color theme="2" tint="-9.985656300546282E-2"/>
      </top>
      <bottom style="thin">
        <color theme="2" tint="-9.985656300546282E-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/>
      <diagonal/>
    </border>
    <border>
      <left style="thin">
        <color rgb="FFF2F2F2"/>
      </left>
      <right/>
      <top/>
      <bottom style="thin">
        <color rgb="FFF2F2F2"/>
      </bottom>
      <diagonal/>
    </border>
    <border>
      <left style="thin">
        <color rgb="FFE6E6E6"/>
      </left>
      <right/>
      <top/>
      <bottom/>
      <diagonal/>
    </border>
    <border>
      <left style="thin">
        <color rgb="FFF2F2F2"/>
      </left>
      <right/>
      <top style="medium">
        <color rgb="FF000000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medium">
        <color rgb="FF000000"/>
      </bottom>
      <diagonal/>
    </border>
    <border>
      <left style="thin">
        <color rgb="FFE6E6E6"/>
      </left>
      <right/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medium">
        <color rgb="FF000000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medium">
        <color rgb="FF000000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theme="2" tint="-4.986724448377941E-2"/>
      </left>
      <right/>
      <top/>
      <bottom/>
      <diagonal/>
    </border>
    <border>
      <left/>
      <right/>
      <top style="thin">
        <color theme="2" tint="-4.986724448377941E-2"/>
      </top>
      <bottom/>
      <diagonal/>
    </border>
    <border>
      <left/>
      <right style="medium">
        <color rgb="FF000000"/>
      </right>
      <top style="thin">
        <color theme="2" tint="-4.986724448377941E-2"/>
      </top>
      <bottom/>
      <diagonal/>
    </border>
    <border>
      <left style="thin">
        <color theme="2" tint="-9.985656300546282E-2"/>
      </left>
      <right/>
      <top style="thin">
        <color theme="2" tint="-9.985656300546282E-2"/>
      </top>
      <bottom/>
      <diagonal/>
    </border>
  </borders>
  <cellStyleXfs count="15">
    <xf numFmtId="0" fontId="0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Protection="0"/>
    <xf numFmtId="0" fontId="9" fillId="0" borderId="0" applyNumberFormat="0" applyFill="0" applyBorder="0" applyProtection="0"/>
    <xf numFmtId="165" fontId="9" fillId="0" borderId="0" applyFont="0" applyFill="0" applyBorder="0" applyAlignment="0" applyProtection="0"/>
    <xf numFmtId="0" fontId="14" fillId="0" borderId="0"/>
    <xf numFmtId="166" fontId="9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7" fillId="2" borderId="1" applyNumberFormat="0" applyAlignment="0" applyProtection="0"/>
    <xf numFmtId="0" fontId="23" fillId="0" borderId="0" applyNumberFormat="0" applyFill="0" applyBorder="0" applyAlignment="0" applyProtection="0"/>
  </cellStyleXfs>
  <cellXfs count="802">
    <xf numFmtId="0" fontId="0" fillId="0" borderId="0" xfId="0"/>
    <xf numFmtId="0" fontId="5" fillId="0" borderId="0" xfId="0" applyFont="1"/>
    <xf numFmtId="0" fontId="3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6" fillId="3" borderId="2" xfId="4" applyNumberFormat="1" applyFont="1" applyFill="1" applyBorder="1" applyAlignment="1">
      <alignment horizontal="center" vertical="center"/>
    </xf>
    <xf numFmtId="49" fontId="6" fillId="0" borderId="2" xfId="4" applyNumberFormat="1" applyFont="1" applyFill="1" applyBorder="1" applyAlignment="1">
      <alignment horizontal="center" vertical="center"/>
    </xf>
    <xf numFmtId="0" fontId="8" fillId="0" borderId="0" xfId="0" applyFont="1"/>
    <xf numFmtId="49" fontId="6" fillId="3" borderId="2" xfId="5" applyNumberFormat="1" applyFont="1" applyFill="1" applyBorder="1" applyAlignment="1">
      <alignment horizontal="center" vertical="center"/>
    </xf>
    <xf numFmtId="49" fontId="5" fillId="0" borderId="2" xfId="7" applyNumberFormat="1" applyFont="1" applyBorder="1" applyAlignment="1">
      <alignment horizontal="center" vertical="center"/>
    </xf>
    <xf numFmtId="49" fontId="6" fillId="0" borderId="2" xfId="5" applyNumberFormat="1" applyFont="1" applyFill="1" applyBorder="1" applyAlignment="1">
      <alignment horizontal="center" vertical="center"/>
    </xf>
    <xf numFmtId="0" fontId="8" fillId="0" borderId="3" xfId="0" applyFont="1" applyBorder="1"/>
    <xf numFmtId="49" fontId="6" fillId="3" borderId="4" xfId="5" applyNumberFormat="1" applyFont="1" applyFill="1" applyBorder="1" applyAlignment="1">
      <alignment horizontal="center" vertical="center"/>
    </xf>
    <xf numFmtId="49" fontId="6" fillId="4" borderId="5" xfId="5" applyNumberFormat="1" applyFont="1" applyFill="1" applyBorder="1" applyAlignment="1">
      <alignment horizontal="center" vertical="center"/>
    </xf>
    <xf numFmtId="0" fontId="12" fillId="0" borderId="6" xfId="0" applyFont="1" applyBorder="1"/>
    <xf numFmtId="49" fontId="6" fillId="5" borderId="2" xfId="5" applyNumberFormat="1" applyFont="1" applyFill="1" applyBorder="1" applyAlignment="1">
      <alignment horizontal="center" vertical="center"/>
    </xf>
    <xf numFmtId="0" fontId="10" fillId="5" borderId="2" xfId="5" applyFont="1" applyFill="1" applyBorder="1" applyAlignment="1">
      <alignment horizontal="center" vertical="center"/>
    </xf>
    <xf numFmtId="0" fontId="6" fillId="5" borderId="2" xfId="5" applyFont="1" applyFill="1" applyBorder="1" applyAlignment="1">
      <alignment horizontal="center" vertical="center"/>
    </xf>
    <xf numFmtId="0" fontId="6" fillId="5" borderId="7" xfId="4" applyFont="1" applyFill="1" applyBorder="1" applyAlignment="1">
      <alignment horizontal="center" vertical="center"/>
    </xf>
    <xf numFmtId="0" fontId="6" fillId="5" borderId="8" xfId="4" applyFont="1" applyFill="1" applyBorder="1" applyAlignment="1">
      <alignment horizontal="center" vertical="center"/>
    </xf>
    <xf numFmtId="0" fontId="6" fillId="4" borderId="7" xfId="4" applyFont="1" applyFill="1" applyBorder="1" applyAlignment="1">
      <alignment horizontal="center" vertical="center"/>
    </xf>
    <xf numFmtId="0" fontId="10" fillId="6" borderId="2" xfId="5" applyFont="1" applyFill="1" applyBorder="1" applyAlignment="1">
      <alignment horizontal="center" vertical="center"/>
    </xf>
    <xf numFmtId="165" fontId="5" fillId="0" borderId="0" xfId="1" applyFont="1" applyAlignment="1"/>
    <xf numFmtId="0" fontId="12" fillId="7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67" fontId="5" fillId="0" borderId="10" xfId="0" applyNumberFormat="1" applyFont="1" applyBorder="1"/>
    <xf numFmtId="49" fontId="5" fillId="0" borderId="10" xfId="0" applyNumberFormat="1" applyFont="1" applyBorder="1"/>
    <xf numFmtId="170" fontId="5" fillId="0" borderId="10" xfId="0" applyNumberFormat="1" applyFont="1" applyBorder="1"/>
    <xf numFmtId="0" fontId="5" fillId="0" borderId="10" xfId="0" applyFont="1" applyBorder="1"/>
    <xf numFmtId="44" fontId="5" fillId="0" borderId="0" xfId="0" applyNumberFormat="1" applyFont="1"/>
    <xf numFmtId="0" fontId="8" fillId="4" borderId="11" xfId="0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5" fillId="5" borderId="2" xfId="0" applyFont="1" applyFill="1" applyBorder="1"/>
    <xf numFmtId="0" fontId="5" fillId="5" borderId="2" xfId="0" applyFont="1" applyFill="1" applyBorder="1" applyAlignment="1">
      <alignment horizontal="center" vertical="center"/>
    </xf>
    <xf numFmtId="168" fontId="3" fillId="4" borderId="12" xfId="0" applyNumberFormat="1" applyFont="1" applyFill="1" applyBorder="1"/>
    <xf numFmtId="167" fontId="5" fillId="0" borderId="13" xfId="0" applyNumberFormat="1" applyFont="1" applyBorder="1"/>
    <xf numFmtId="170" fontId="5" fillId="0" borderId="14" xfId="0" applyNumberFormat="1" applyFont="1" applyBorder="1"/>
    <xf numFmtId="170" fontId="5" fillId="0" borderId="13" xfId="0" applyNumberFormat="1" applyFont="1" applyBorder="1"/>
    <xf numFmtId="167" fontId="3" fillId="0" borderId="0" xfId="0" applyNumberFormat="1" applyFont="1"/>
    <xf numFmtId="168" fontId="3" fillId="0" borderId="0" xfId="0" applyNumberFormat="1" applyFont="1"/>
    <xf numFmtId="49" fontId="12" fillId="6" borderId="2" xfId="1" applyNumberFormat="1" applyFont="1" applyFill="1" applyBorder="1" applyAlignment="1">
      <alignment horizontal="center" vertical="center"/>
    </xf>
    <xf numFmtId="0" fontId="8" fillId="5" borderId="2" xfId="0" applyFont="1" applyFill="1" applyBorder="1"/>
    <xf numFmtId="0" fontId="8" fillId="5" borderId="2" xfId="0" applyFont="1" applyFill="1" applyBorder="1" applyAlignment="1">
      <alignment horizontal="center" vertical="center"/>
    </xf>
    <xf numFmtId="0" fontId="12" fillId="4" borderId="9" xfId="0" applyFont="1" applyFill="1" applyBorder="1"/>
    <xf numFmtId="49" fontId="8" fillId="4" borderId="7" xfId="1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12" fillId="4" borderId="16" xfId="1" applyNumberFormat="1" applyFont="1" applyFill="1" applyBorder="1" applyAlignment="1">
      <alignment horizontal="center" vertical="center"/>
    </xf>
    <xf numFmtId="0" fontId="12" fillId="7" borderId="12" xfId="0" applyFont="1" applyFill="1" applyBorder="1"/>
    <xf numFmtId="0" fontId="5" fillId="0" borderId="8" xfId="0" applyFont="1" applyBorder="1"/>
    <xf numFmtId="49" fontId="3" fillId="0" borderId="19" xfId="0" applyNumberFormat="1" applyFont="1" applyBorder="1"/>
    <xf numFmtId="49" fontId="5" fillId="0" borderId="20" xfId="0" applyNumberFormat="1" applyFont="1" applyBorder="1"/>
    <xf numFmtId="170" fontId="5" fillId="0" borderId="20" xfId="0" applyNumberFormat="1" applyFont="1" applyBorder="1"/>
    <xf numFmtId="170" fontId="5" fillId="0" borderId="21" xfId="0" applyNumberFormat="1" applyFont="1" applyBorder="1"/>
    <xf numFmtId="167" fontId="5" fillId="0" borderId="22" xfId="0" applyNumberFormat="1" applyFont="1" applyBorder="1"/>
    <xf numFmtId="170" fontId="5" fillId="0" borderId="23" xfId="0" applyNumberFormat="1" applyFont="1" applyBorder="1"/>
    <xf numFmtId="168" fontId="3" fillId="0" borderId="19" xfId="0" applyNumberFormat="1" applyFont="1" applyBorder="1"/>
    <xf numFmtId="49" fontId="3" fillId="0" borderId="24" xfId="0" applyNumberFormat="1" applyFont="1" applyBorder="1"/>
    <xf numFmtId="167" fontId="3" fillId="0" borderId="24" xfId="0" applyNumberFormat="1" applyFont="1" applyBorder="1"/>
    <xf numFmtId="168" fontId="3" fillId="0" borderId="24" xfId="0" applyNumberFormat="1" applyFont="1" applyBorder="1"/>
    <xf numFmtId="170" fontId="3" fillId="0" borderId="24" xfId="0" applyNumberFormat="1" applyFont="1" applyBorder="1"/>
    <xf numFmtId="49" fontId="5" fillId="0" borderId="25" xfId="0" applyNumberFormat="1" applyFont="1" applyBorder="1"/>
    <xf numFmtId="167" fontId="5" fillId="0" borderId="26" xfId="0" applyNumberFormat="1" applyFont="1" applyBorder="1"/>
    <xf numFmtId="168" fontId="5" fillId="0" borderId="14" xfId="0" applyNumberFormat="1" applyFont="1" applyBorder="1"/>
    <xf numFmtId="49" fontId="3" fillId="0" borderId="27" xfId="0" applyNumberFormat="1" applyFont="1" applyBorder="1"/>
    <xf numFmtId="167" fontId="3" fillId="0" borderId="27" xfId="0" applyNumberFormat="1" applyFont="1" applyBorder="1"/>
    <xf numFmtId="49" fontId="15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49" fontId="5" fillId="0" borderId="0" xfId="0" applyNumberFormat="1" applyFont="1"/>
    <xf numFmtId="167" fontId="5" fillId="0" borderId="0" xfId="0" applyNumberFormat="1" applyFont="1"/>
    <xf numFmtId="170" fontId="5" fillId="0" borderId="0" xfId="0" applyNumberFormat="1" applyFont="1"/>
    <xf numFmtId="49" fontId="6" fillId="0" borderId="0" xfId="0" applyNumberFormat="1" applyFont="1"/>
    <xf numFmtId="170" fontId="3" fillId="0" borderId="0" xfId="0" applyNumberFormat="1" applyFont="1"/>
    <xf numFmtId="168" fontId="5" fillId="0" borderId="0" xfId="0" applyNumberFormat="1" applyFont="1"/>
    <xf numFmtId="167" fontId="5" fillId="0" borderId="28" xfId="0" applyNumberFormat="1" applyFont="1" applyBorder="1"/>
    <xf numFmtId="49" fontId="6" fillId="3" borderId="4" xfId="4" applyNumberFormat="1" applyFont="1" applyFill="1" applyBorder="1" applyAlignment="1">
      <alignment horizontal="center" vertical="center"/>
    </xf>
    <xf numFmtId="49" fontId="3" fillId="4" borderId="29" xfId="0" applyNumberFormat="1" applyFont="1" applyFill="1" applyBorder="1"/>
    <xf numFmtId="49" fontId="5" fillId="0" borderId="14" xfId="0" applyNumberFormat="1" applyFont="1" applyBorder="1"/>
    <xf numFmtId="44" fontId="3" fillId="4" borderId="30" xfId="0" applyNumberFormat="1" applyFont="1" applyFill="1" applyBorder="1"/>
    <xf numFmtId="0" fontId="12" fillId="4" borderId="32" xfId="0" applyFont="1" applyFill="1" applyBorder="1"/>
    <xf numFmtId="49" fontId="3" fillId="0" borderId="33" xfId="0" applyNumberFormat="1" applyFont="1" applyBorder="1"/>
    <xf numFmtId="170" fontId="3" fillId="0" borderId="33" xfId="0" applyNumberFormat="1" applyFont="1" applyBorder="1"/>
    <xf numFmtId="49" fontId="6" fillId="3" borderId="0" xfId="4" applyNumberFormat="1" applyFont="1" applyFill="1" applyBorder="1" applyAlignment="1">
      <alignment horizontal="center" vertical="center"/>
    </xf>
    <xf numFmtId="165" fontId="13" fillId="0" borderId="2" xfId="1" applyFont="1" applyFill="1" applyBorder="1" applyAlignment="1">
      <alignment horizontal="center"/>
    </xf>
    <xf numFmtId="171" fontId="5" fillId="0" borderId="15" xfId="0" applyNumberFormat="1" applyFont="1" applyBorder="1" applyAlignment="1">
      <alignment horizontal="center" vertical="center"/>
    </xf>
    <xf numFmtId="49" fontId="6" fillId="5" borderId="0" xfId="4" applyNumberFormat="1" applyFont="1" applyFill="1" applyBorder="1" applyAlignment="1">
      <alignment horizontal="center" vertical="center"/>
    </xf>
    <xf numFmtId="49" fontId="6" fillId="0" borderId="0" xfId="4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165" fontId="6" fillId="0" borderId="15" xfId="1" applyFont="1" applyFill="1" applyBorder="1" applyAlignment="1">
      <alignment horizontal="center" vertical="center"/>
    </xf>
    <xf numFmtId="165" fontId="6" fillId="3" borderId="15" xfId="1" applyFont="1" applyFill="1" applyBorder="1" applyAlignment="1">
      <alignment horizontal="center" vertical="center"/>
    </xf>
    <xf numFmtId="171" fontId="12" fillId="4" borderId="4" xfId="0" applyNumberFormat="1" applyFont="1" applyFill="1" applyBorder="1"/>
    <xf numFmtId="49" fontId="6" fillId="8" borderId="8" xfId="5" applyNumberFormat="1" applyFont="1" applyFill="1" applyBorder="1" applyAlignment="1">
      <alignment horizontal="center" vertical="center"/>
    </xf>
    <xf numFmtId="49" fontId="6" fillId="8" borderId="2" xfId="5" applyNumberFormat="1" applyFont="1" applyFill="1" applyBorder="1" applyAlignment="1">
      <alignment horizontal="center" vertical="center"/>
    </xf>
    <xf numFmtId="49" fontId="6" fillId="8" borderId="4" xfId="5" applyNumberFormat="1" applyFont="1" applyFill="1" applyBorder="1" applyAlignment="1">
      <alignment horizontal="center" vertical="center"/>
    </xf>
    <xf numFmtId="173" fontId="12" fillId="6" borderId="15" xfId="1" applyNumberFormat="1" applyFont="1" applyFill="1" applyBorder="1" applyAlignment="1">
      <alignment horizontal="center" vertical="center"/>
    </xf>
    <xf numFmtId="173" fontId="5" fillId="5" borderId="15" xfId="0" applyNumberFormat="1" applyFont="1" applyFill="1" applyBorder="1"/>
    <xf numFmtId="173" fontId="5" fillId="0" borderId="15" xfId="0" applyNumberFormat="1" applyFont="1" applyBorder="1" applyAlignment="1">
      <alignment horizontal="center" vertical="center"/>
    </xf>
    <xf numFmtId="173" fontId="12" fillId="4" borderId="34" xfId="0" applyNumberFormat="1" applyFont="1" applyFill="1" applyBorder="1"/>
    <xf numFmtId="173" fontId="12" fillId="4" borderId="35" xfId="1" applyNumberFormat="1" applyFont="1" applyFill="1" applyBorder="1" applyAlignment="1">
      <alignment horizontal="center" vertical="center"/>
    </xf>
    <xf numFmtId="173" fontId="8" fillId="5" borderId="15" xfId="0" applyNumberFormat="1" applyFont="1" applyFill="1" applyBorder="1"/>
    <xf numFmtId="173" fontId="8" fillId="4" borderId="35" xfId="1" applyNumberFormat="1" applyFont="1" applyFill="1" applyBorder="1" applyAlignment="1">
      <alignment horizontal="center" vertical="center"/>
    </xf>
    <xf numFmtId="173" fontId="5" fillId="5" borderId="15" xfId="0" applyNumberFormat="1" applyFont="1" applyFill="1" applyBorder="1" applyAlignment="1">
      <alignment horizontal="center" vertical="center"/>
    </xf>
    <xf numFmtId="173" fontId="12" fillId="4" borderId="36" xfId="0" applyNumberFormat="1" applyFont="1" applyFill="1" applyBorder="1"/>
    <xf numFmtId="173" fontId="12" fillId="4" borderId="37" xfId="1" applyNumberFormat="1" applyFont="1" applyFill="1" applyBorder="1" applyAlignment="1">
      <alignment horizontal="center" vertical="center"/>
    </xf>
    <xf numFmtId="173" fontId="12" fillId="7" borderId="38" xfId="0" applyNumberFormat="1" applyFont="1" applyFill="1" applyBorder="1"/>
    <xf numFmtId="173" fontId="5" fillId="0" borderId="15" xfId="0" applyNumberFormat="1" applyFont="1" applyBorder="1"/>
    <xf numFmtId="173" fontId="5" fillId="0" borderId="8" xfId="0" applyNumberFormat="1" applyFont="1" applyBorder="1"/>
    <xf numFmtId="173" fontId="5" fillId="0" borderId="2" xfId="0" applyNumberFormat="1" applyFont="1" applyBorder="1"/>
    <xf numFmtId="173" fontId="5" fillId="0" borderId="0" xfId="0" applyNumberFormat="1" applyFont="1"/>
    <xf numFmtId="0" fontId="15" fillId="0" borderId="39" xfId="0" applyFont="1" applyBorder="1" applyAlignment="1">
      <alignment horizontal="center" vertical="center"/>
    </xf>
    <xf numFmtId="173" fontId="8" fillId="0" borderId="15" xfId="0" applyNumberFormat="1" applyFont="1" applyBorder="1" applyAlignment="1">
      <alignment horizontal="center" vertical="center"/>
    </xf>
    <xf numFmtId="173" fontId="8" fillId="5" borderId="15" xfId="0" applyNumberFormat="1" applyFont="1" applyFill="1" applyBorder="1" applyAlignment="1">
      <alignment horizontal="center" vertical="center"/>
    </xf>
    <xf numFmtId="173" fontId="5" fillId="0" borderId="36" xfId="0" applyNumberFormat="1" applyFont="1" applyBorder="1" applyAlignment="1">
      <alignment horizontal="center" vertical="center"/>
    </xf>
    <xf numFmtId="173" fontId="5" fillId="5" borderId="42" xfId="0" applyNumberFormat="1" applyFont="1" applyFill="1" applyBorder="1"/>
    <xf numFmtId="173" fontId="8" fillId="0" borderId="36" xfId="0" applyNumberFormat="1" applyFont="1" applyBorder="1" applyAlignment="1">
      <alignment horizontal="center" vertical="center"/>
    </xf>
    <xf numFmtId="0" fontId="10" fillId="6" borderId="15" xfId="5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10" fillId="5" borderId="15" xfId="1" applyFont="1" applyFill="1" applyBorder="1" applyAlignment="1">
      <alignment horizontal="center" vertical="center"/>
    </xf>
    <xf numFmtId="165" fontId="6" fillId="5" borderId="15" xfId="1" applyFont="1" applyFill="1" applyBorder="1" applyAlignment="1">
      <alignment horizontal="center" vertical="center"/>
    </xf>
    <xf numFmtId="165" fontId="6" fillId="3" borderId="36" xfId="1" applyFont="1" applyFill="1" applyBorder="1" applyAlignment="1">
      <alignment horizontal="center" vertical="center"/>
    </xf>
    <xf numFmtId="165" fontId="6" fillId="8" borderId="15" xfId="1" applyFont="1" applyFill="1" applyBorder="1" applyAlignment="1">
      <alignment horizontal="center" vertical="center"/>
    </xf>
    <xf numFmtId="165" fontId="6" fillId="4" borderId="35" xfId="1" applyFont="1" applyFill="1" applyBorder="1" applyAlignment="1">
      <alignment horizontal="center" vertical="center"/>
    </xf>
    <xf numFmtId="165" fontId="6" fillId="5" borderId="42" xfId="1" applyFont="1" applyFill="1" applyBorder="1" applyAlignment="1">
      <alignment horizontal="center" vertical="center"/>
    </xf>
    <xf numFmtId="165" fontId="6" fillId="3" borderId="0" xfId="1" applyFont="1" applyFill="1" applyBorder="1" applyAlignment="1">
      <alignment horizontal="center" vertical="center"/>
    </xf>
    <xf numFmtId="165" fontId="6" fillId="8" borderId="36" xfId="1" applyFont="1" applyFill="1" applyBorder="1" applyAlignment="1">
      <alignment horizontal="center" vertical="center"/>
    </xf>
    <xf numFmtId="165" fontId="6" fillId="5" borderId="35" xfId="1" applyFont="1" applyFill="1" applyBorder="1" applyAlignment="1">
      <alignment horizontal="center" vertical="center"/>
    </xf>
    <xf numFmtId="165" fontId="12" fillId="7" borderId="34" xfId="1" applyFont="1" applyFill="1" applyBorder="1" applyAlignment="1">
      <alignment horizontal="center" vertical="center"/>
    </xf>
    <xf numFmtId="165" fontId="12" fillId="0" borderId="43" xfId="1" applyFont="1" applyBorder="1"/>
    <xf numFmtId="165" fontId="12" fillId="7" borderId="44" xfId="1" applyFont="1" applyFill="1" applyBorder="1"/>
    <xf numFmtId="44" fontId="10" fillId="5" borderId="15" xfId="1" applyNumberFormat="1" applyFont="1" applyFill="1" applyBorder="1" applyAlignment="1">
      <alignment horizontal="center" vertical="center"/>
    </xf>
    <xf numFmtId="44" fontId="6" fillId="3" borderId="15" xfId="1" applyNumberFormat="1" applyFont="1" applyFill="1" applyBorder="1" applyAlignment="1">
      <alignment horizontal="center" vertical="center"/>
    </xf>
    <xf numFmtId="44" fontId="5" fillId="0" borderId="15" xfId="1" applyNumberFormat="1" applyFont="1" applyBorder="1" applyAlignment="1">
      <alignment horizontal="center" vertical="center"/>
    </xf>
    <xf numFmtId="44" fontId="6" fillId="5" borderId="15" xfId="1" applyNumberFormat="1" applyFont="1" applyFill="1" applyBorder="1" applyAlignment="1">
      <alignment horizontal="center" vertical="center"/>
    </xf>
    <xf numFmtId="44" fontId="6" fillId="0" borderId="15" xfId="1" applyNumberFormat="1" applyFont="1" applyFill="1" applyBorder="1" applyAlignment="1">
      <alignment horizontal="center" vertical="center"/>
    </xf>
    <xf numFmtId="44" fontId="6" fillId="3" borderId="36" xfId="1" applyNumberFormat="1" applyFont="1" applyFill="1" applyBorder="1" applyAlignment="1">
      <alignment horizontal="center" vertical="center"/>
    </xf>
    <xf numFmtId="44" fontId="6" fillId="8" borderId="42" xfId="1" applyNumberFormat="1" applyFont="1" applyFill="1" applyBorder="1" applyAlignment="1">
      <alignment horizontal="center" vertical="center"/>
    </xf>
    <xf numFmtId="44" fontId="6" fillId="8" borderId="15" xfId="1" applyNumberFormat="1" applyFont="1" applyFill="1" applyBorder="1" applyAlignment="1">
      <alignment horizontal="center" vertical="center"/>
    </xf>
    <xf numFmtId="44" fontId="12" fillId="4" borderId="45" xfId="1" applyNumberFormat="1" applyFont="1" applyFill="1" applyBorder="1" applyAlignment="1">
      <alignment horizontal="center" vertical="center"/>
    </xf>
    <xf numFmtId="165" fontId="12" fillId="4" borderId="34" xfId="1" applyFont="1" applyFill="1" applyBorder="1" applyAlignment="1">
      <alignment horizontal="center" vertical="center"/>
    </xf>
    <xf numFmtId="165" fontId="10" fillId="4" borderId="5" xfId="1" applyFont="1" applyFill="1" applyBorder="1" applyAlignment="1">
      <alignment horizontal="center" vertical="center"/>
    </xf>
    <xf numFmtId="165" fontId="12" fillId="0" borderId="46" xfId="1" applyFont="1" applyBorder="1"/>
    <xf numFmtId="44" fontId="6" fillId="0" borderId="0" xfId="4" applyNumberFormat="1" applyFont="1" applyFill="1" applyBorder="1" applyAlignment="1">
      <alignment horizontal="center" vertical="center"/>
    </xf>
    <xf numFmtId="44" fontId="6" fillId="5" borderId="0" xfId="4" applyNumberFormat="1" applyFont="1" applyFill="1" applyBorder="1" applyAlignment="1">
      <alignment horizontal="center" vertical="center"/>
    </xf>
    <xf numFmtId="44" fontId="6" fillId="3" borderId="0" xfId="4" applyNumberFormat="1" applyFont="1" applyFill="1" applyBorder="1" applyAlignment="1">
      <alignment horizontal="center" vertical="center"/>
    </xf>
    <xf numFmtId="44" fontId="3" fillId="4" borderId="29" xfId="0" applyNumberFormat="1" applyFont="1" applyFill="1" applyBorder="1"/>
    <xf numFmtId="44" fontId="5" fillId="0" borderId="47" xfId="0" applyNumberFormat="1" applyFont="1" applyBorder="1"/>
    <xf numFmtId="44" fontId="12" fillId="7" borderId="38" xfId="0" applyNumberFormat="1" applyFont="1" applyFill="1" applyBorder="1"/>
    <xf numFmtId="44" fontId="12" fillId="4" borderId="32" xfId="0" applyNumberFormat="1" applyFont="1" applyFill="1" applyBorder="1"/>
    <xf numFmtId="173" fontId="0" fillId="0" borderId="0" xfId="0" applyNumberFormat="1"/>
    <xf numFmtId="173" fontId="6" fillId="0" borderId="0" xfId="4" applyNumberFormat="1" applyFont="1" applyFill="1" applyBorder="1" applyAlignment="1">
      <alignment horizontal="center" vertical="center"/>
    </xf>
    <xf numFmtId="173" fontId="6" fillId="5" borderId="0" xfId="4" applyNumberFormat="1" applyFont="1" applyFill="1" applyBorder="1" applyAlignment="1">
      <alignment horizontal="center" vertical="center"/>
    </xf>
    <xf numFmtId="173" fontId="6" fillId="3" borderId="0" xfId="4" applyNumberFormat="1" applyFont="1" applyFill="1" applyBorder="1" applyAlignment="1">
      <alignment horizontal="center" vertical="center"/>
    </xf>
    <xf numFmtId="44" fontId="12" fillId="7" borderId="30" xfId="0" applyNumberFormat="1" applyFont="1" applyFill="1" applyBorder="1"/>
    <xf numFmtId="165" fontId="8" fillId="0" borderId="0" xfId="1" applyFont="1" applyBorder="1"/>
    <xf numFmtId="165" fontId="12" fillId="7" borderId="0" xfId="1" applyFont="1" applyFill="1" applyBorder="1"/>
    <xf numFmtId="174" fontId="3" fillId="4" borderId="30" xfId="0" applyNumberFormat="1" applyFont="1" applyFill="1" applyBorder="1"/>
    <xf numFmtId="164" fontId="5" fillId="0" borderId="0" xfId="2" applyFont="1" applyBorder="1"/>
    <xf numFmtId="0" fontId="12" fillId="0" borderId="48" xfId="0" applyFont="1" applyBorder="1"/>
    <xf numFmtId="0" fontId="3" fillId="0" borderId="48" xfId="0" applyFont="1" applyBorder="1"/>
    <xf numFmtId="0" fontId="10" fillId="5" borderId="15" xfId="5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6" borderId="50" xfId="0" applyNumberFormat="1" applyFont="1" applyFill="1" applyBorder="1"/>
    <xf numFmtId="49" fontId="3" fillId="0" borderId="51" xfId="0" applyNumberFormat="1" applyFont="1" applyBorder="1"/>
    <xf numFmtId="49" fontId="3" fillId="0" borderId="52" xfId="0" applyNumberFormat="1" applyFont="1" applyBorder="1"/>
    <xf numFmtId="167" fontId="3" fillId="6" borderId="53" xfId="0" applyNumberFormat="1" applyFont="1" applyFill="1" applyBorder="1" applyAlignment="1">
      <alignment horizontal="center" vertical="center"/>
    </xf>
    <xf numFmtId="49" fontId="3" fillId="6" borderId="50" xfId="0" applyNumberFormat="1" applyFont="1" applyFill="1" applyBorder="1" applyAlignment="1">
      <alignment horizontal="center" vertical="center"/>
    </xf>
    <xf numFmtId="173" fontId="3" fillId="0" borderId="51" xfId="1" applyNumberFormat="1" applyFont="1" applyFill="1" applyBorder="1" applyAlignment="1">
      <alignment horizontal="center" vertical="center"/>
    </xf>
    <xf numFmtId="165" fontId="3" fillId="0" borderId="52" xfId="1" applyFont="1" applyFill="1" applyBorder="1" applyAlignment="1">
      <alignment horizontal="center" vertical="center"/>
    </xf>
    <xf numFmtId="173" fontId="3" fillId="0" borderId="54" xfId="1" applyNumberFormat="1" applyFont="1" applyFill="1" applyBorder="1" applyAlignment="1">
      <alignment horizontal="right" vertical="center"/>
    </xf>
    <xf numFmtId="173" fontId="3" fillId="0" borderId="55" xfId="1" applyNumberFormat="1" applyFont="1" applyFill="1" applyBorder="1" applyAlignment="1">
      <alignment horizontal="right" vertical="center"/>
    </xf>
    <xf numFmtId="167" fontId="3" fillId="6" borderId="50" xfId="0" applyNumberFormat="1" applyFont="1" applyFill="1" applyBorder="1" applyAlignment="1">
      <alignment horizontal="center" vertical="center"/>
    </xf>
    <xf numFmtId="49" fontId="3" fillId="4" borderId="56" xfId="0" applyNumberFormat="1" applyFont="1" applyFill="1" applyBorder="1"/>
    <xf numFmtId="49" fontId="3" fillId="4" borderId="57" xfId="0" applyNumberFormat="1" applyFont="1" applyFill="1" applyBorder="1"/>
    <xf numFmtId="49" fontId="3" fillId="4" borderId="58" xfId="0" applyNumberFormat="1" applyFont="1" applyFill="1" applyBorder="1"/>
    <xf numFmtId="49" fontId="5" fillId="0" borderId="48" xfId="0" applyNumberFormat="1" applyFont="1" applyBorder="1"/>
    <xf numFmtId="49" fontId="3" fillId="4" borderId="59" xfId="0" applyNumberFormat="1" applyFont="1" applyFill="1" applyBorder="1"/>
    <xf numFmtId="175" fontId="3" fillId="4" borderId="60" xfId="2" applyNumberFormat="1" applyFont="1" applyFill="1" applyBorder="1" applyAlignment="1">
      <alignment horizontal="right"/>
    </xf>
    <xf numFmtId="49" fontId="3" fillId="4" borderId="61" xfId="0" applyNumberFormat="1" applyFont="1" applyFill="1" applyBorder="1"/>
    <xf numFmtId="175" fontId="3" fillId="4" borderId="62" xfId="2" applyNumberFormat="1" applyFont="1" applyFill="1" applyBorder="1"/>
    <xf numFmtId="175" fontId="5" fillId="0" borderId="63" xfId="2" applyNumberFormat="1" applyFont="1" applyBorder="1"/>
    <xf numFmtId="175" fontId="6" fillId="3" borderId="63" xfId="2" applyNumberFormat="1" applyFont="1" applyFill="1" applyBorder="1"/>
    <xf numFmtId="175" fontId="3" fillId="4" borderId="60" xfId="2" applyNumberFormat="1" applyFont="1" applyFill="1" applyBorder="1"/>
    <xf numFmtId="175" fontId="3" fillId="4" borderId="60" xfId="1" applyNumberFormat="1" applyFont="1" applyFill="1" applyBorder="1"/>
    <xf numFmtId="175" fontId="3" fillId="4" borderId="62" xfId="0" applyNumberFormat="1" applyFont="1" applyFill="1" applyBorder="1"/>
    <xf numFmtId="49" fontId="3" fillId="4" borderId="64" xfId="0" applyNumberFormat="1" applyFont="1" applyFill="1" applyBorder="1"/>
    <xf numFmtId="44" fontId="3" fillId="4" borderId="65" xfId="0" applyNumberFormat="1" applyFont="1" applyFill="1" applyBorder="1"/>
    <xf numFmtId="173" fontId="13" fillId="0" borderId="0" xfId="0" applyNumberFormat="1" applyFont="1"/>
    <xf numFmtId="44" fontId="3" fillId="4" borderId="0" xfId="0" applyNumberFormat="1" applyFont="1" applyFill="1"/>
    <xf numFmtId="165" fontId="5" fillId="0" borderId="0" xfId="1" applyFont="1" applyFill="1" applyBorder="1"/>
    <xf numFmtId="167" fontId="3" fillId="9" borderId="0" xfId="0" applyNumberFormat="1" applyFont="1" applyFill="1"/>
    <xf numFmtId="49" fontId="3" fillId="4" borderId="50" xfId="0" applyNumberFormat="1" applyFont="1" applyFill="1" applyBorder="1"/>
    <xf numFmtId="49" fontId="3" fillId="4" borderId="66" xfId="0" applyNumberFormat="1" applyFont="1" applyFill="1" applyBorder="1"/>
    <xf numFmtId="49" fontId="3" fillId="4" borderId="67" xfId="0" applyNumberFormat="1" applyFont="1" applyFill="1" applyBorder="1"/>
    <xf numFmtId="0" fontId="13" fillId="0" borderId="51" xfId="0" applyFont="1" applyBorder="1"/>
    <xf numFmtId="44" fontId="5" fillId="0" borderId="68" xfId="0" applyNumberFormat="1" applyFont="1" applyBorder="1"/>
    <xf numFmtId="0" fontId="5" fillId="0" borderId="51" xfId="0" applyFont="1" applyBorder="1"/>
    <xf numFmtId="49" fontId="5" fillId="0" borderId="50" xfId="0" applyNumberFormat="1" applyFont="1" applyBorder="1"/>
    <xf numFmtId="49" fontId="5" fillId="0" borderId="51" xfId="0" applyNumberFormat="1" applyFont="1" applyBorder="1"/>
    <xf numFmtId="165" fontId="5" fillId="0" borderId="68" xfId="1" applyFont="1" applyFill="1" applyBorder="1"/>
    <xf numFmtId="49" fontId="3" fillId="4" borderId="51" xfId="0" applyNumberFormat="1" applyFont="1" applyFill="1" applyBorder="1"/>
    <xf numFmtId="44" fontId="3" fillId="4" borderId="68" xfId="0" applyNumberFormat="1" applyFont="1" applyFill="1" applyBorder="1"/>
    <xf numFmtId="167" fontId="5" fillId="0" borderId="68" xfId="0" applyNumberFormat="1" applyFont="1" applyBorder="1"/>
    <xf numFmtId="165" fontId="5" fillId="0" borderId="68" xfId="1" applyFont="1" applyBorder="1" applyAlignment="1"/>
    <xf numFmtId="0" fontId="5" fillId="0" borderId="69" xfId="0" applyFont="1" applyBorder="1"/>
    <xf numFmtId="167" fontId="3" fillId="9" borderId="68" xfId="0" applyNumberFormat="1" applyFont="1" applyFill="1" applyBorder="1"/>
    <xf numFmtId="49" fontId="3" fillId="10" borderId="50" xfId="0" applyNumberFormat="1" applyFont="1" applyFill="1" applyBorder="1"/>
    <xf numFmtId="44" fontId="3" fillId="10" borderId="66" xfId="0" applyNumberFormat="1" applyFont="1" applyFill="1" applyBorder="1"/>
    <xf numFmtId="167" fontId="3" fillId="11" borderId="66" xfId="0" applyNumberFormat="1" applyFont="1" applyFill="1" applyBorder="1"/>
    <xf numFmtId="167" fontId="3" fillId="11" borderId="67" xfId="0" applyNumberFormat="1" applyFont="1" applyFill="1" applyBorder="1"/>
    <xf numFmtId="49" fontId="3" fillId="10" borderId="70" xfId="0" applyNumberFormat="1" applyFont="1" applyFill="1" applyBorder="1"/>
    <xf numFmtId="44" fontId="3" fillId="10" borderId="71" xfId="0" applyNumberFormat="1" applyFont="1" applyFill="1" applyBorder="1"/>
    <xf numFmtId="44" fontId="3" fillId="10" borderId="72" xfId="0" applyNumberFormat="1" applyFont="1" applyFill="1" applyBorder="1"/>
    <xf numFmtId="0" fontId="5" fillId="0" borderId="50" xfId="0" applyFont="1" applyBorder="1"/>
    <xf numFmtId="0" fontId="5" fillId="0" borderId="66" xfId="0" applyFont="1" applyBorder="1"/>
    <xf numFmtId="0" fontId="5" fillId="0" borderId="67" xfId="0" applyFont="1" applyBorder="1"/>
    <xf numFmtId="44" fontId="3" fillId="10" borderId="67" xfId="0" applyNumberFormat="1" applyFont="1" applyFill="1" applyBorder="1"/>
    <xf numFmtId="169" fontId="5" fillId="0" borderId="0" xfId="0" applyNumberFormat="1" applyFont="1"/>
    <xf numFmtId="169" fontId="5" fillId="0" borderId="68" xfId="0" applyNumberFormat="1" applyFont="1" applyBorder="1"/>
    <xf numFmtId="49" fontId="5" fillId="0" borderId="66" xfId="0" applyNumberFormat="1" applyFont="1" applyBorder="1"/>
    <xf numFmtId="49" fontId="5" fillId="0" borderId="67" xfId="0" applyNumberFormat="1" applyFont="1" applyBorder="1"/>
    <xf numFmtId="44" fontId="5" fillId="0" borderId="0" xfId="0" applyNumberFormat="1" applyFont="1" applyAlignment="1">
      <alignment horizontal="left" wrapText="1" readingOrder="1"/>
    </xf>
    <xf numFmtId="49" fontId="5" fillId="0" borderId="68" xfId="0" applyNumberFormat="1" applyFont="1" applyBorder="1"/>
    <xf numFmtId="42" fontId="5" fillId="0" borderId="0" xfId="0" applyNumberFormat="1" applyFont="1"/>
    <xf numFmtId="42" fontId="5" fillId="0" borderId="68" xfId="0" applyNumberFormat="1" applyFont="1" applyBorder="1"/>
    <xf numFmtId="165" fontId="5" fillId="0" borderId="0" xfId="1" applyFont="1" applyFill="1" applyBorder="1" applyAlignment="1"/>
    <xf numFmtId="165" fontId="5" fillId="0" borderId="68" xfId="1" applyFont="1" applyFill="1" applyBorder="1" applyAlignment="1"/>
    <xf numFmtId="164" fontId="5" fillId="0" borderId="47" xfId="2" applyFont="1" applyFill="1" applyBorder="1"/>
    <xf numFmtId="175" fontId="5" fillId="0" borderId="63" xfId="2" applyNumberFormat="1" applyFont="1" applyFill="1" applyBorder="1"/>
    <xf numFmtId="0" fontId="5" fillId="0" borderId="73" xfId="0" applyFont="1" applyBorder="1"/>
    <xf numFmtId="49" fontId="5" fillId="0" borderId="73" xfId="0" applyNumberFormat="1" applyFont="1" applyBorder="1"/>
    <xf numFmtId="44" fontId="5" fillId="0" borderId="15" xfId="0" applyNumberFormat="1" applyFont="1" applyBorder="1"/>
    <xf numFmtId="175" fontId="5" fillId="0" borderId="63" xfId="2" applyNumberFormat="1" applyFont="1" applyFill="1" applyBorder="1" applyAlignment="1">
      <alignment horizontal="right"/>
    </xf>
    <xf numFmtId="173" fontId="5" fillId="0" borderId="68" xfId="0" applyNumberFormat="1" applyFont="1" applyBorder="1"/>
    <xf numFmtId="173" fontId="5" fillId="0" borderId="47" xfId="0" applyNumberFormat="1" applyFont="1" applyBorder="1"/>
    <xf numFmtId="173" fontId="5" fillId="0" borderId="47" xfId="2" applyNumberFormat="1" applyFont="1" applyFill="1" applyBorder="1"/>
    <xf numFmtId="173" fontId="5" fillId="0" borderId="63" xfId="2" applyNumberFormat="1" applyFont="1" applyFill="1" applyBorder="1"/>
    <xf numFmtId="173" fontId="5" fillId="0" borderId="32" xfId="0" applyNumberFormat="1" applyFont="1" applyBorder="1"/>
    <xf numFmtId="49" fontId="3" fillId="4" borderId="70" xfId="0" applyNumberFormat="1" applyFont="1" applyFill="1" applyBorder="1"/>
    <xf numFmtId="49" fontId="3" fillId="4" borderId="71" xfId="0" applyNumberFormat="1" applyFont="1" applyFill="1" applyBorder="1"/>
    <xf numFmtId="49" fontId="3" fillId="4" borderId="72" xfId="0" applyNumberFormat="1" applyFont="1" applyFill="1" applyBorder="1"/>
    <xf numFmtId="0" fontId="12" fillId="4" borderId="48" xfId="0" applyFont="1" applyFill="1" applyBorder="1"/>
    <xf numFmtId="3" fontId="3" fillId="4" borderId="78" xfId="0" applyNumberFormat="1" applyFont="1" applyFill="1" applyBorder="1" applyAlignment="1">
      <alignment horizontal="center" vertical="center"/>
    </xf>
    <xf numFmtId="165" fontId="8" fillId="0" borderId="78" xfId="1" applyFont="1" applyFill="1" applyBorder="1"/>
    <xf numFmtId="0" fontId="12" fillId="10" borderId="79" xfId="0" applyFont="1" applyFill="1" applyBorder="1"/>
    <xf numFmtId="44" fontId="12" fillId="10" borderId="80" xfId="0" applyNumberFormat="1" applyFont="1" applyFill="1" applyBorder="1"/>
    <xf numFmtId="173" fontId="12" fillId="10" borderId="80" xfId="0" applyNumberFormat="1" applyFont="1" applyFill="1" applyBorder="1"/>
    <xf numFmtId="165" fontId="12" fillId="10" borderId="80" xfId="0" applyNumberFormat="1" applyFont="1" applyFill="1" applyBorder="1"/>
    <xf numFmtId="44" fontId="12" fillId="10" borderId="81" xfId="0" applyNumberFormat="1" applyFont="1" applyFill="1" applyBorder="1"/>
    <xf numFmtId="0" fontId="13" fillId="0" borderId="48" xfId="0" applyFont="1" applyBorder="1"/>
    <xf numFmtId="44" fontId="13" fillId="0" borderId="32" xfId="0" applyNumberFormat="1" applyFont="1" applyBorder="1"/>
    <xf numFmtId="173" fontId="13" fillId="0" borderId="32" xfId="0" applyNumberFormat="1" applyFont="1" applyBorder="1"/>
    <xf numFmtId="165" fontId="13" fillId="0" borderId="32" xfId="0" applyNumberFormat="1" applyFont="1" applyBorder="1"/>
    <xf numFmtId="44" fontId="5" fillId="0" borderId="78" xfId="0" applyNumberFormat="1" applyFont="1" applyBorder="1"/>
    <xf numFmtId="0" fontId="5" fillId="0" borderId="48" xfId="0" applyFont="1" applyBorder="1"/>
    <xf numFmtId="44" fontId="5" fillId="0" borderId="32" xfId="0" applyNumberFormat="1" applyFont="1" applyBorder="1"/>
    <xf numFmtId="0" fontId="5" fillId="0" borderId="82" xfId="0" applyFont="1" applyBorder="1"/>
    <xf numFmtId="44" fontId="5" fillId="0" borderId="83" xfId="0" applyNumberFormat="1" applyFont="1" applyBorder="1"/>
    <xf numFmtId="173" fontId="5" fillId="0" borderId="83" xfId="0" applyNumberFormat="1" applyFont="1" applyBorder="1"/>
    <xf numFmtId="165" fontId="13" fillId="0" borderId="83" xfId="0" applyNumberFormat="1" applyFont="1" applyBorder="1"/>
    <xf numFmtId="0" fontId="12" fillId="6" borderId="48" xfId="0" applyFont="1" applyFill="1" applyBorder="1"/>
    <xf numFmtId="173" fontId="12" fillId="6" borderId="78" xfId="1" applyNumberFormat="1" applyFont="1" applyFill="1" applyBorder="1" applyAlignment="1">
      <alignment horizontal="center" vertical="center"/>
    </xf>
    <xf numFmtId="0" fontId="12" fillId="5" borderId="48" xfId="0" applyFont="1" applyFill="1" applyBorder="1"/>
    <xf numFmtId="173" fontId="5" fillId="5" borderId="78" xfId="0" applyNumberFormat="1" applyFont="1" applyFill="1" applyBorder="1"/>
    <xf numFmtId="0" fontId="8" fillId="0" borderId="48" xfId="0" applyFont="1" applyBorder="1"/>
    <xf numFmtId="171" fontId="5" fillId="0" borderId="78" xfId="0" applyNumberFormat="1" applyFont="1" applyBorder="1" applyAlignment="1">
      <alignment horizontal="center" vertical="center"/>
    </xf>
    <xf numFmtId="0" fontId="12" fillId="4" borderId="85" xfId="0" applyFont="1" applyFill="1" applyBorder="1"/>
    <xf numFmtId="171" fontId="12" fillId="4" borderId="86" xfId="0" applyNumberFormat="1" applyFont="1" applyFill="1" applyBorder="1"/>
    <xf numFmtId="0" fontId="12" fillId="4" borderId="87" xfId="0" applyFont="1" applyFill="1" applyBorder="1"/>
    <xf numFmtId="173" fontId="12" fillId="4" borderId="88" xfId="1" applyNumberFormat="1" applyFont="1" applyFill="1" applyBorder="1" applyAlignment="1">
      <alignment horizontal="center" vertical="center"/>
    </xf>
    <xf numFmtId="171" fontId="5" fillId="5" borderId="78" xfId="0" applyNumberFormat="1" applyFont="1" applyFill="1" applyBorder="1"/>
    <xf numFmtId="171" fontId="8" fillId="0" borderId="78" xfId="0" applyNumberFormat="1" applyFont="1" applyBorder="1" applyAlignment="1">
      <alignment horizontal="center" vertical="center"/>
    </xf>
    <xf numFmtId="173" fontId="5" fillId="0" borderId="78" xfId="0" applyNumberFormat="1" applyFont="1" applyBorder="1" applyAlignment="1">
      <alignment horizontal="center" vertical="center"/>
    </xf>
    <xf numFmtId="173" fontId="12" fillId="4" borderId="86" xfId="0" applyNumberFormat="1" applyFont="1" applyFill="1" applyBorder="1"/>
    <xf numFmtId="173" fontId="8" fillId="5" borderId="78" xfId="0" applyNumberFormat="1" applyFont="1" applyFill="1" applyBorder="1"/>
    <xf numFmtId="171" fontId="8" fillId="5" borderId="78" xfId="0" applyNumberFormat="1" applyFont="1" applyFill="1" applyBorder="1"/>
    <xf numFmtId="0" fontId="3" fillId="5" borderId="48" xfId="0" applyFont="1" applyFill="1" applyBorder="1"/>
    <xf numFmtId="171" fontId="8" fillId="5" borderId="78" xfId="0" applyNumberFormat="1" applyFont="1" applyFill="1" applyBorder="1" applyAlignment="1">
      <alignment horizontal="center" vertical="center"/>
    </xf>
    <xf numFmtId="173" fontId="8" fillId="4" borderId="88" xfId="1" applyNumberFormat="1" applyFont="1" applyFill="1" applyBorder="1" applyAlignment="1">
      <alignment horizontal="center" vertical="center"/>
    </xf>
    <xf numFmtId="171" fontId="5" fillId="0" borderId="78" xfId="0" applyNumberFormat="1" applyFont="1" applyBorder="1"/>
    <xf numFmtId="173" fontId="5" fillId="5" borderId="78" xfId="0" applyNumberFormat="1" applyFont="1" applyFill="1" applyBorder="1" applyAlignment="1">
      <alignment horizontal="center" vertical="center"/>
    </xf>
    <xf numFmtId="0" fontId="12" fillId="4" borderId="89" xfId="0" applyFont="1" applyFill="1" applyBorder="1"/>
    <xf numFmtId="173" fontId="12" fillId="4" borderId="90" xfId="0" applyNumberFormat="1" applyFont="1" applyFill="1" applyBorder="1"/>
    <xf numFmtId="0" fontId="12" fillId="4" borderId="61" xfId="0" applyFont="1" applyFill="1" applyBorder="1"/>
    <xf numFmtId="173" fontId="12" fillId="4" borderId="91" xfId="1" applyNumberFormat="1" applyFont="1" applyFill="1" applyBorder="1" applyAlignment="1">
      <alignment horizontal="center" vertical="center"/>
    </xf>
    <xf numFmtId="171" fontId="5" fillId="0" borderId="90" xfId="0" applyNumberFormat="1" applyFont="1" applyBorder="1" applyAlignment="1">
      <alignment horizontal="center" vertical="center"/>
    </xf>
    <xf numFmtId="173" fontId="5" fillId="0" borderId="0" xfId="0" applyNumberFormat="1" applyFont="1" applyAlignment="1">
      <alignment horizontal="center" vertical="center"/>
    </xf>
    <xf numFmtId="171" fontId="5" fillId="0" borderId="68" xfId="0" applyNumberFormat="1" applyFont="1" applyBorder="1" applyAlignment="1">
      <alignment horizontal="center" vertical="center"/>
    </xf>
    <xf numFmtId="173" fontId="5" fillId="5" borderId="92" xfId="0" applyNumberFormat="1" applyFont="1" applyFill="1" applyBorder="1"/>
    <xf numFmtId="0" fontId="8" fillId="0" borderId="89" xfId="0" applyFont="1" applyBorder="1"/>
    <xf numFmtId="171" fontId="8" fillId="0" borderId="90" xfId="0" applyNumberFormat="1" applyFont="1" applyBorder="1" applyAlignment="1">
      <alignment horizontal="center" vertical="center"/>
    </xf>
    <xf numFmtId="0" fontId="12" fillId="7" borderId="59" xfId="0" applyFont="1" applyFill="1" applyBorder="1"/>
    <xf numFmtId="171" fontId="12" fillId="7" borderId="93" xfId="0" applyNumberFormat="1" applyFont="1" applyFill="1" applyBorder="1"/>
    <xf numFmtId="173" fontId="5" fillId="0" borderId="78" xfId="0" applyNumberFormat="1" applyFont="1" applyBorder="1"/>
    <xf numFmtId="0" fontId="12" fillId="7" borderId="64" xfId="0" applyFont="1" applyFill="1" applyBorder="1"/>
    <xf numFmtId="0" fontId="12" fillId="7" borderId="94" xfId="0" applyFont="1" applyFill="1" applyBorder="1"/>
    <xf numFmtId="173" fontId="12" fillId="7" borderId="95" xfId="0" applyNumberFormat="1" applyFont="1" applyFill="1" applyBorder="1"/>
    <xf numFmtId="173" fontId="12" fillId="7" borderId="96" xfId="0" applyNumberFormat="1" applyFont="1" applyFill="1" applyBorder="1"/>
    <xf numFmtId="49" fontId="10" fillId="6" borderId="48" xfId="5" applyNumberFormat="1" applyFont="1" applyFill="1" applyBorder="1" applyAlignment="1">
      <alignment horizontal="left"/>
    </xf>
    <xf numFmtId="165" fontId="10" fillId="6" borderId="78" xfId="1" applyFont="1" applyFill="1" applyBorder="1" applyAlignment="1">
      <alignment horizontal="right" vertical="center"/>
    </xf>
    <xf numFmtId="165" fontId="10" fillId="5" borderId="78" xfId="1" applyFont="1" applyFill="1" applyBorder="1" applyAlignment="1">
      <alignment horizontal="right" vertical="center"/>
    </xf>
    <xf numFmtId="49" fontId="6" fillId="3" borderId="48" xfId="5" applyNumberFormat="1" applyFont="1" applyFill="1" applyBorder="1"/>
    <xf numFmtId="165" fontId="6" fillId="0" borderId="78" xfId="1" applyFont="1" applyFill="1" applyBorder="1" applyAlignment="1">
      <alignment horizontal="right" vertical="center"/>
    </xf>
    <xf numFmtId="165" fontId="5" fillId="0" borderId="78" xfId="1" applyFont="1" applyBorder="1" applyAlignment="1">
      <alignment horizontal="right" vertical="center"/>
    </xf>
    <xf numFmtId="165" fontId="6" fillId="3" borderId="78" xfId="1" applyFont="1" applyFill="1" applyBorder="1" applyAlignment="1">
      <alignment horizontal="right" vertical="center"/>
    </xf>
    <xf numFmtId="165" fontId="6" fillId="5" borderId="78" xfId="1" applyFont="1" applyFill="1" applyBorder="1" applyAlignment="1">
      <alignment horizontal="right" vertical="center"/>
    </xf>
    <xf numFmtId="49" fontId="3" fillId="5" borderId="48" xfId="5" applyNumberFormat="1" applyFont="1" applyFill="1" applyBorder="1"/>
    <xf numFmtId="49" fontId="6" fillId="0" borderId="48" xfId="5" applyNumberFormat="1" applyFont="1" applyFill="1" applyBorder="1"/>
    <xf numFmtId="49" fontId="10" fillId="5" borderId="48" xfId="5" applyNumberFormat="1" applyFont="1" applyFill="1" applyBorder="1" applyAlignment="1">
      <alignment horizontal="left"/>
    </xf>
    <xf numFmtId="49" fontId="6" fillId="3" borderId="89" xfId="5" applyNumberFormat="1" applyFont="1" applyFill="1" applyBorder="1"/>
    <xf numFmtId="165" fontId="6" fillId="3" borderId="90" xfId="1" applyFont="1" applyFill="1" applyBorder="1" applyAlignment="1">
      <alignment horizontal="right" vertical="center"/>
    </xf>
    <xf numFmtId="49" fontId="10" fillId="5" borderId="51" xfId="5" applyNumberFormat="1" applyFont="1" applyFill="1" applyBorder="1"/>
    <xf numFmtId="49" fontId="6" fillId="5" borderId="0" xfId="5" applyNumberFormat="1" applyFont="1" applyFill="1" applyBorder="1" applyAlignment="1">
      <alignment horizontal="center" vertical="center"/>
    </xf>
    <xf numFmtId="44" fontId="6" fillId="5" borderId="0" xfId="1" applyNumberFormat="1" applyFont="1" applyFill="1" applyBorder="1" applyAlignment="1">
      <alignment horizontal="center" vertical="center"/>
    </xf>
    <xf numFmtId="165" fontId="6" fillId="5" borderId="68" xfId="1" applyFont="1" applyFill="1" applyBorder="1" applyAlignment="1">
      <alignment horizontal="right" vertical="center"/>
    </xf>
    <xf numFmtId="49" fontId="6" fillId="8" borderId="97" xfId="5" applyNumberFormat="1" applyFont="1" applyFill="1" applyBorder="1"/>
    <xf numFmtId="165" fontId="6" fillId="8" borderId="92" xfId="1" applyFont="1" applyFill="1" applyBorder="1" applyAlignment="1">
      <alignment horizontal="right" vertical="center"/>
    </xf>
    <xf numFmtId="49" fontId="6" fillId="8" borderId="48" xfId="5" applyNumberFormat="1" applyFont="1" applyFill="1" applyBorder="1"/>
    <xf numFmtId="165" fontId="6" fillId="8" borderId="78" xfId="1" applyFont="1" applyFill="1" applyBorder="1" applyAlignment="1">
      <alignment horizontal="right" vertical="center"/>
    </xf>
    <xf numFmtId="49" fontId="10" fillId="5" borderId="48" xfId="5" applyNumberFormat="1" applyFont="1" applyFill="1" applyBorder="1"/>
    <xf numFmtId="49" fontId="10" fillId="4" borderId="89" xfId="5" applyNumberFormat="1" applyFont="1" applyFill="1" applyBorder="1"/>
    <xf numFmtId="165" fontId="12" fillId="4" borderId="98" xfId="1" applyFont="1" applyFill="1" applyBorder="1" applyAlignment="1">
      <alignment horizontal="right" vertical="center"/>
    </xf>
    <xf numFmtId="49" fontId="10" fillId="4" borderId="87" xfId="4" applyNumberFormat="1" applyFont="1" applyFill="1" applyBorder="1"/>
    <xf numFmtId="165" fontId="6" fillId="4" borderId="88" xfId="1" applyFont="1" applyFill="1" applyBorder="1" applyAlignment="1">
      <alignment horizontal="right" vertical="center"/>
    </xf>
    <xf numFmtId="165" fontId="6" fillId="5" borderId="92" xfId="1" applyFont="1" applyFill="1" applyBorder="1" applyAlignment="1">
      <alignment horizontal="right" vertical="center"/>
    </xf>
    <xf numFmtId="49" fontId="6" fillId="3" borderId="48" xfId="4" applyNumberFormat="1" applyFont="1" applyFill="1" applyBorder="1"/>
    <xf numFmtId="49" fontId="6" fillId="0" borderId="48" xfId="4" applyNumberFormat="1" applyFont="1" applyFill="1" applyBorder="1"/>
    <xf numFmtId="165" fontId="6" fillId="3" borderId="68" xfId="1" applyFont="1" applyFill="1" applyBorder="1" applyAlignment="1">
      <alignment horizontal="right" vertical="center"/>
    </xf>
    <xf numFmtId="49" fontId="6" fillId="8" borderId="89" xfId="5" applyNumberFormat="1" applyFont="1" applyFill="1" applyBorder="1"/>
    <xf numFmtId="165" fontId="6" fillId="8" borderId="90" xfId="1" applyFont="1" applyFill="1" applyBorder="1" applyAlignment="1">
      <alignment horizontal="right" vertical="center"/>
    </xf>
    <xf numFmtId="49" fontId="10" fillId="4" borderId="99" xfId="5" applyNumberFormat="1" applyFont="1" applyFill="1" applyBorder="1"/>
    <xf numFmtId="165" fontId="10" fillId="4" borderId="100" xfId="1" applyFont="1" applyFill="1" applyBorder="1" applyAlignment="1">
      <alignment horizontal="right" vertical="center"/>
    </xf>
    <xf numFmtId="49" fontId="10" fillId="5" borderId="97" xfId="4" applyNumberFormat="1" applyFont="1" applyFill="1" applyBorder="1"/>
    <xf numFmtId="165" fontId="12" fillId="4" borderId="86" xfId="1" applyFont="1" applyFill="1" applyBorder="1" applyAlignment="1">
      <alignment horizontal="right" vertical="center"/>
    </xf>
    <xf numFmtId="49" fontId="10" fillId="5" borderId="87" xfId="4" applyNumberFormat="1" applyFont="1" applyFill="1" applyBorder="1"/>
    <xf numFmtId="165" fontId="6" fillId="5" borderId="88" xfId="1" applyFont="1" applyFill="1" applyBorder="1" applyAlignment="1">
      <alignment horizontal="right" vertical="center"/>
    </xf>
    <xf numFmtId="49" fontId="6" fillId="3" borderId="89" xfId="4" applyNumberFormat="1" applyFont="1" applyFill="1" applyBorder="1"/>
    <xf numFmtId="165" fontId="6" fillId="0" borderId="90" xfId="1" applyFont="1" applyFill="1" applyBorder="1" applyAlignment="1">
      <alignment horizontal="right" vertical="center"/>
    </xf>
    <xf numFmtId="0" fontId="10" fillId="4" borderId="85" xfId="4" applyFont="1" applyFill="1" applyBorder="1"/>
    <xf numFmtId="0" fontId="12" fillId="7" borderId="85" xfId="0" applyFont="1" applyFill="1" applyBorder="1"/>
    <xf numFmtId="165" fontId="12" fillId="7" borderId="86" xfId="1" applyFont="1" applyFill="1" applyBorder="1" applyAlignment="1">
      <alignment horizontal="right" vertical="center"/>
    </xf>
    <xf numFmtId="0" fontId="12" fillId="0" borderId="101" xfId="0" applyFont="1" applyBorder="1"/>
    <xf numFmtId="165" fontId="12" fillId="0" borderId="102" xfId="1" applyFont="1" applyBorder="1" applyAlignment="1">
      <alignment horizontal="right"/>
    </xf>
    <xf numFmtId="0" fontId="12" fillId="0" borderId="103" xfId="0" applyFont="1" applyBorder="1"/>
    <xf numFmtId="165" fontId="12" fillId="0" borderId="104" xfId="1" applyFont="1" applyBorder="1" applyAlignment="1">
      <alignment horizontal="right"/>
    </xf>
    <xf numFmtId="0" fontId="3" fillId="0" borderId="103" xfId="0" applyFont="1" applyBorder="1"/>
    <xf numFmtId="0" fontId="12" fillId="7" borderId="105" xfId="0" applyFont="1" applyFill="1" applyBorder="1"/>
    <xf numFmtId="0" fontId="12" fillId="7" borderId="106" xfId="0" applyFont="1" applyFill="1" applyBorder="1"/>
    <xf numFmtId="165" fontId="12" fillId="7" borderId="107" xfId="1" applyFont="1" applyFill="1" applyBorder="1"/>
    <xf numFmtId="165" fontId="12" fillId="7" borderId="108" xfId="1" applyFont="1" applyFill="1" applyBorder="1" applyAlignment="1">
      <alignment horizontal="right"/>
    </xf>
    <xf numFmtId="0" fontId="12" fillId="5" borderId="51" xfId="0" applyFont="1" applyFill="1" applyBorder="1"/>
    <xf numFmtId="0" fontId="0" fillId="5" borderId="0" xfId="0" applyFill="1" applyAlignment="1">
      <alignment horizontal="center" vertical="center"/>
    </xf>
    <xf numFmtId="173" fontId="0" fillId="5" borderId="0" xfId="0" applyNumberFormat="1" applyFill="1" applyAlignment="1">
      <alignment horizontal="center" vertical="center"/>
    </xf>
    <xf numFmtId="49" fontId="6" fillId="5" borderId="68" xfId="4" applyNumberFormat="1" applyFont="1" applyFill="1" applyBorder="1" applyAlignment="1">
      <alignment horizontal="center" vertical="center"/>
    </xf>
    <xf numFmtId="49" fontId="6" fillId="0" borderId="68" xfId="4" applyNumberFormat="1" applyFont="1" applyFill="1" applyBorder="1" applyAlignment="1">
      <alignment horizontal="center" vertical="center"/>
    </xf>
    <xf numFmtId="0" fontId="6" fillId="0" borderId="68" xfId="4" applyFont="1" applyFill="1" applyBorder="1" applyAlignment="1">
      <alignment horizontal="center" vertical="center"/>
    </xf>
    <xf numFmtId="49" fontId="6" fillId="3" borderId="68" xfId="4" applyNumberFormat="1" applyFont="1" applyFill="1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73" fontId="5" fillId="5" borderId="0" xfId="0" applyNumberFormat="1" applyFont="1" applyFill="1" applyAlignment="1">
      <alignment horizontal="center" vertical="center"/>
    </xf>
    <xf numFmtId="44" fontId="5" fillId="5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173" fontId="5" fillId="12" borderId="0" xfId="0" applyNumberFormat="1" applyFont="1" applyFill="1" applyAlignment="1">
      <alignment horizontal="center" vertical="center"/>
    </xf>
    <xf numFmtId="44" fontId="5" fillId="12" borderId="0" xfId="0" applyNumberFormat="1" applyFont="1" applyFill="1" applyAlignment="1">
      <alignment horizontal="center" vertical="center"/>
    </xf>
    <xf numFmtId="173" fontId="3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5" borderId="0" xfId="4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4" fontId="12" fillId="4" borderId="0" xfId="0" applyNumberFormat="1" applyFont="1" applyFill="1" applyAlignment="1">
      <alignment horizontal="center" vertical="center"/>
    </xf>
    <xf numFmtId="49" fontId="6" fillId="5" borderId="0" xfId="0" applyNumberFormat="1" applyFont="1" applyFill="1" applyAlignment="1">
      <alignment horizontal="center" vertical="center"/>
    </xf>
    <xf numFmtId="173" fontId="6" fillId="5" borderId="0" xfId="0" applyNumberFormat="1" applyFont="1" applyFill="1" applyAlignment="1">
      <alignment horizontal="center" vertical="center"/>
    </xf>
    <xf numFmtId="44" fontId="6" fillId="5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173" fontId="10" fillId="5" borderId="0" xfId="0" applyNumberFormat="1" applyFont="1" applyFill="1" applyAlignment="1">
      <alignment horizontal="center" vertical="center"/>
    </xf>
    <xf numFmtId="44" fontId="10" fillId="5" borderId="0" xfId="0" applyNumberFormat="1" applyFont="1" applyFill="1" applyAlignment="1">
      <alignment horizontal="center" vertical="center"/>
    </xf>
    <xf numFmtId="44" fontId="8" fillId="0" borderId="0" xfId="1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8" borderId="0" xfId="0" applyFill="1"/>
    <xf numFmtId="0" fontId="0" fillId="0" borderId="0" xfId="0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3" fontId="6" fillId="0" borderId="0" xfId="0" applyNumberFormat="1" applyFont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4" borderId="51" xfId="0" applyFont="1" applyFill="1" applyBorder="1"/>
    <xf numFmtId="0" fontId="5" fillId="5" borderId="68" xfId="0" applyFont="1" applyFill="1" applyBorder="1" applyAlignment="1">
      <alignment horizontal="center" vertical="center"/>
    </xf>
    <xf numFmtId="0" fontId="8" fillId="0" borderId="51" xfId="0" applyFont="1" applyBorder="1"/>
    <xf numFmtId="165" fontId="5" fillId="5" borderId="68" xfId="1" applyFont="1" applyFill="1" applyBorder="1"/>
    <xf numFmtId="165" fontId="8" fillId="0" borderId="68" xfId="1" applyFont="1" applyFill="1" applyBorder="1"/>
    <xf numFmtId="165" fontId="3" fillId="4" borderId="68" xfId="1" applyFont="1" applyFill="1" applyBorder="1"/>
    <xf numFmtId="165" fontId="5" fillId="12" borderId="68" xfId="1" applyFont="1" applyFill="1" applyBorder="1"/>
    <xf numFmtId="0" fontId="5" fillId="0" borderId="68" xfId="0" applyFont="1" applyBorder="1" applyAlignment="1">
      <alignment horizontal="center" vertical="center"/>
    </xf>
    <xf numFmtId="44" fontId="5" fillId="5" borderId="68" xfId="0" applyNumberFormat="1" applyFont="1" applyFill="1" applyBorder="1" applyAlignment="1">
      <alignment horizontal="center" vertical="center"/>
    </xf>
    <xf numFmtId="0" fontId="6" fillId="5" borderId="68" xfId="4" applyFont="1" applyFill="1" applyBorder="1" applyAlignment="1">
      <alignment horizontal="center" vertical="center"/>
    </xf>
    <xf numFmtId="49" fontId="6" fillId="0" borderId="51" xfId="4" applyNumberFormat="1" applyFont="1" applyFill="1" applyBorder="1"/>
    <xf numFmtId="49" fontId="6" fillId="3" borderId="51" xfId="4" applyNumberFormat="1" applyFont="1" applyFill="1" applyBorder="1"/>
    <xf numFmtId="0" fontId="12" fillId="0" borderId="51" xfId="0" applyFont="1" applyBorder="1"/>
    <xf numFmtId="165" fontId="3" fillId="4" borderId="68" xfId="0" applyNumberFormat="1" applyFont="1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49" fontId="6" fillId="0" borderId="51" xfId="0" applyNumberFormat="1" applyFont="1" applyBorder="1"/>
    <xf numFmtId="165" fontId="0" fillId="0" borderId="68" xfId="1" applyFont="1" applyFill="1" applyBorder="1"/>
    <xf numFmtId="165" fontId="0" fillId="0" borderId="68" xfId="1" applyFont="1" applyFill="1" applyBorder="1" applyAlignment="1">
      <alignment horizontal="right"/>
    </xf>
    <xf numFmtId="49" fontId="6" fillId="5" borderId="68" xfId="0" applyNumberFormat="1" applyFont="1" applyFill="1" applyBorder="1" applyAlignment="1">
      <alignment horizontal="center" vertical="center"/>
    </xf>
    <xf numFmtId="165" fontId="6" fillId="0" borderId="68" xfId="1" applyFont="1" applyFill="1" applyBorder="1" applyAlignment="1">
      <alignment horizontal="center" vertical="center"/>
    </xf>
    <xf numFmtId="49" fontId="6" fillId="0" borderId="68" xfId="0" applyNumberFormat="1" applyFont="1" applyBorder="1" applyAlignment="1">
      <alignment horizontal="center" vertical="center"/>
    </xf>
    <xf numFmtId="165" fontId="0" fillId="12" borderId="68" xfId="1" applyFont="1" applyFill="1" applyBorder="1" applyAlignment="1">
      <alignment horizontal="right"/>
    </xf>
    <xf numFmtId="0" fontId="6" fillId="0" borderId="68" xfId="0" applyFont="1" applyBorder="1" applyAlignment="1">
      <alignment horizontal="center" vertical="center"/>
    </xf>
    <xf numFmtId="49" fontId="10" fillId="5" borderId="51" xfId="0" applyNumberFormat="1" applyFont="1" applyFill="1" applyBorder="1" applyAlignment="1">
      <alignment horizontal="left"/>
    </xf>
    <xf numFmtId="0" fontId="10" fillId="5" borderId="68" xfId="0" applyFont="1" applyFill="1" applyBorder="1" applyAlignment="1">
      <alignment horizontal="center" vertical="center"/>
    </xf>
    <xf numFmtId="173" fontId="0" fillId="0" borderId="68" xfId="1" applyNumberFormat="1" applyFont="1" applyFill="1" applyBorder="1"/>
    <xf numFmtId="165" fontId="5" fillId="0" borderId="68" xfId="0" applyNumberFormat="1" applyFont="1" applyBorder="1"/>
    <xf numFmtId="49" fontId="10" fillId="5" borderId="51" xfId="4" applyNumberFormat="1" applyFont="1" applyFill="1" applyBorder="1" applyAlignment="1">
      <alignment horizontal="left"/>
    </xf>
    <xf numFmtId="165" fontId="6" fillId="0" borderId="68" xfId="1" applyFont="1" applyFill="1" applyBorder="1" applyAlignment="1"/>
    <xf numFmtId="165" fontId="6" fillId="8" borderId="68" xfId="1" applyFont="1" applyFill="1" applyBorder="1" applyAlignment="1"/>
    <xf numFmtId="173" fontId="6" fillId="0" borderId="68" xfId="4" applyNumberFormat="1" applyFont="1" applyFill="1" applyBorder="1" applyAlignment="1">
      <alignment horizontal="center" vertical="center"/>
    </xf>
    <xf numFmtId="165" fontId="6" fillId="0" borderId="68" xfId="1" applyFont="1" applyFill="1" applyBorder="1" applyAlignment="1">
      <alignment vertical="center"/>
    </xf>
    <xf numFmtId="165" fontId="6" fillId="8" borderId="68" xfId="1" applyFont="1" applyFill="1" applyBorder="1" applyAlignment="1">
      <alignment vertical="center"/>
    </xf>
    <xf numFmtId="49" fontId="6" fillId="0" borderId="51" xfId="4" applyNumberFormat="1" applyFont="1" applyFill="1" applyBorder="1" applyAlignment="1">
      <alignment horizontal="left"/>
    </xf>
    <xf numFmtId="165" fontId="12" fillId="4" borderId="68" xfId="0" applyNumberFormat="1" applyFont="1" applyFill="1" applyBorder="1" applyAlignment="1">
      <alignment horizontal="center" vertical="center"/>
    </xf>
    <xf numFmtId="167" fontId="0" fillId="0" borderId="68" xfId="0" applyNumberFormat="1" applyBorder="1" applyAlignment="1">
      <alignment horizontal="right"/>
    </xf>
    <xf numFmtId="49" fontId="6" fillId="0" borderId="51" xfId="0" applyNumberFormat="1" applyFont="1" applyBorder="1" applyAlignment="1">
      <alignment horizontal="left"/>
    </xf>
    <xf numFmtId="0" fontId="3" fillId="0" borderId="51" xfId="0" applyFont="1" applyBorder="1"/>
    <xf numFmtId="0" fontId="3" fillId="7" borderId="52" xfId="0" applyFont="1" applyFill="1" applyBorder="1"/>
    <xf numFmtId="0" fontId="5" fillId="7" borderId="109" xfId="0" applyFont="1" applyFill="1" applyBorder="1" applyAlignment="1">
      <alignment horizontal="center" vertical="center"/>
    </xf>
    <xf numFmtId="44" fontId="3" fillId="7" borderId="109" xfId="0" applyNumberFormat="1" applyFont="1" applyFill="1" applyBorder="1" applyAlignment="1">
      <alignment horizontal="center" vertical="center"/>
    </xf>
    <xf numFmtId="165" fontId="3" fillId="7" borderId="110" xfId="1" applyFont="1" applyFill="1" applyBorder="1"/>
    <xf numFmtId="0" fontId="0" fillId="0" borderId="50" xfId="0" applyBorder="1"/>
    <xf numFmtId="0" fontId="0" fillId="0" borderId="66" xfId="0" applyBorder="1" applyAlignment="1">
      <alignment horizontal="center" vertical="center"/>
    </xf>
    <xf numFmtId="44" fontId="5" fillId="0" borderId="68" xfId="0" applyNumberFormat="1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173" fontId="0" fillId="0" borderId="109" xfId="0" applyNumberFormat="1" applyBorder="1" applyAlignment="1">
      <alignment horizontal="center" vertical="center"/>
    </xf>
    <xf numFmtId="44" fontId="0" fillId="0" borderId="110" xfId="0" applyNumberFormat="1" applyBorder="1" applyAlignment="1">
      <alignment horizontal="center" vertical="center"/>
    </xf>
    <xf numFmtId="0" fontId="12" fillId="4" borderId="50" xfId="0" applyFont="1" applyFill="1" applyBorder="1"/>
    <xf numFmtId="49" fontId="12" fillId="4" borderId="66" xfId="1" applyNumberFormat="1" applyFont="1" applyFill="1" applyBorder="1" applyAlignment="1">
      <alignment horizontal="center" vertical="center"/>
    </xf>
    <xf numFmtId="173" fontId="12" fillId="4" borderId="66" xfId="1" applyNumberFormat="1" applyFont="1" applyFill="1" applyBorder="1" applyAlignment="1">
      <alignment horizontal="center" vertical="center"/>
    </xf>
    <xf numFmtId="49" fontId="12" fillId="4" borderId="67" xfId="1" applyNumberFormat="1" applyFont="1" applyFill="1" applyBorder="1" applyAlignment="1">
      <alignment horizontal="center" vertical="center"/>
    </xf>
    <xf numFmtId="44" fontId="3" fillId="4" borderId="109" xfId="0" applyNumberFormat="1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173" fontId="3" fillId="4" borderId="66" xfId="0" applyNumberFormat="1" applyFont="1" applyFill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49" fontId="10" fillId="4" borderId="50" xfId="4" applyNumberFormat="1" applyFont="1" applyFill="1" applyBorder="1"/>
    <xf numFmtId="0" fontId="10" fillId="4" borderId="66" xfId="4" applyFont="1" applyFill="1" applyBorder="1" applyAlignment="1">
      <alignment horizontal="center" vertical="center"/>
    </xf>
    <xf numFmtId="173" fontId="10" fillId="4" borderId="66" xfId="4" applyNumberFormat="1" applyFont="1" applyFill="1" applyBorder="1" applyAlignment="1">
      <alignment horizontal="center" vertical="center"/>
    </xf>
    <xf numFmtId="0" fontId="10" fillId="4" borderId="67" xfId="4" applyFont="1" applyFill="1" applyBorder="1" applyAlignment="1">
      <alignment horizontal="center" vertical="center"/>
    </xf>
    <xf numFmtId="49" fontId="10" fillId="4" borderId="50" xfId="0" applyNumberFormat="1" applyFont="1" applyFill="1" applyBorder="1" applyAlignment="1">
      <alignment horizontal="left"/>
    </xf>
    <xf numFmtId="0" fontId="18" fillId="4" borderId="66" xfId="0" applyFont="1" applyFill="1" applyBorder="1" applyAlignment="1">
      <alignment horizontal="center" vertical="center"/>
    </xf>
    <xf numFmtId="173" fontId="18" fillId="4" borderId="66" xfId="0" applyNumberFormat="1" applyFont="1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44" fontId="3" fillId="4" borderId="66" xfId="0" applyNumberFormat="1" applyFont="1" applyFill="1" applyBorder="1" applyAlignment="1">
      <alignment horizontal="center" vertical="center"/>
    </xf>
    <xf numFmtId="165" fontId="3" fillId="4" borderId="67" xfId="0" applyNumberFormat="1" applyFont="1" applyFill="1" applyBorder="1" applyAlignment="1">
      <alignment horizontal="center" vertical="center"/>
    </xf>
    <xf numFmtId="0" fontId="12" fillId="7" borderId="50" xfId="0" applyFont="1" applyFill="1" applyBorder="1"/>
    <xf numFmtId="0" fontId="3" fillId="7" borderId="66" xfId="0" applyFont="1" applyFill="1" applyBorder="1" applyAlignment="1">
      <alignment horizontal="center" vertical="center"/>
    </xf>
    <xf numFmtId="173" fontId="3" fillId="7" borderId="66" xfId="0" applyNumberFormat="1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center" vertical="center"/>
    </xf>
    <xf numFmtId="0" fontId="12" fillId="7" borderId="52" xfId="0" applyFont="1" applyFill="1" applyBorder="1"/>
    <xf numFmtId="0" fontId="3" fillId="7" borderId="109" xfId="0" applyFont="1" applyFill="1" applyBorder="1" applyAlignment="1">
      <alignment horizontal="center" vertical="center"/>
    </xf>
    <xf numFmtId="167" fontId="3" fillId="13" borderId="110" xfId="0" applyNumberFormat="1" applyFont="1" applyFill="1" applyBorder="1" applyAlignment="1">
      <alignment horizontal="center" vertical="center"/>
    </xf>
    <xf numFmtId="0" fontId="18" fillId="0" borderId="51" xfId="0" applyFont="1" applyBorder="1"/>
    <xf numFmtId="0" fontId="18" fillId="0" borderId="52" xfId="0" applyFont="1" applyBorder="1"/>
    <xf numFmtId="49" fontId="8" fillId="0" borderId="0" xfId="0" applyNumberFormat="1" applyFont="1" applyAlignment="1">
      <alignment horizontal="center" vertical="center"/>
    </xf>
    <xf numFmtId="49" fontId="3" fillId="4" borderId="0" xfId="0" applyNumberFormat="1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173" fontId="3" fillId="5" borderId="0" xfId="0" applyNumberFormat="1" applyFont="1" applyFill="1" applyAlignment="1">
      <alignment horizontal="center" vertical="center"/>
    </xf>
    <xf numFmtId="165" fontId="5" fillId="0" borderId="0" xfId="1" applyFont="1" applyFill="1" applyBorder="1" applyAlignment="1">
      <alignment horizontal="right"/>
    </xf>
    <xf numFmtId="172" fontId="5" fillId="0" borderId="0" xfId="1" applyNumberFormat="1" applyFont="1" applyFill="1" applyBorder="1" applyAlignment="1">
      <alignment horizontal="right"/>
    </xf>
    <xf numFmtId="49" fontId="8" fillId="5" borderId="0" xfId="0" applyNumberFormat="1" applyFont="1" applyFill="1" applyAlignment="1">
      <alignment horizontal="center" vertical="center"/>
    </xf>
    <xf numFmtId="173" fontId="8" fillId="5" borderId="0" xfId="0" applyNumberFormat="1" applyFont="1" applyFill="1" applyAlignment="1">
      <alignment horizontal="center" vertical="center"/>
    </xf>
    <xf numFmtId="172" fontId="5" fillId="5" borderId="0" xfId="1" applyNumberFormat="1" applyFont="1" applyFill="1" applyBorder="1" applyAlignment="1">
      <alignment horizontal="right"/>
    </xf>
    <xf numFmtId="172" fontId="5" fillId="0" borderId="0" xfId="1" applyNumberFormat="1" applyFont="1" applyFill="1" applyBorder="1" applyAlignment="1"/>
    <xf numFmtId="165" fontId="3" fillId="4" borderId="0" xfId="1" applyFont="1" applyFill="1" applyBorder="1" applyAlignment="1"/>
    <xf numFmtId="49" fontId="4" fillId="4" borderId="0" xfId="0" applyNumberFormat="1" applyFont="1" applyFill="1" applyAlignment="1">
      <alignment horizontal="center" vertical="center"/>
    </xf>
    <xf numFmtId="173" fontId="4" fillId="4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173" fontId="4" fillId="5" borderId="0" xfId="0" applyNumberFormat="1" applyFont="1" applyFill="1" applyAlignment="1">
      <alignment horizontal="center" vertical="center"/>
    </xf>
    <xf numFmtId="49" fontId="5" fillId="5" borderId="0" xfId="0" applyNumberFormat="1" applyFont="1" applyFill="1" applyAlignment="1">
      <alignment horizontal="center" vertical="center"/>
    </xf>
    <xf numFmtId="165" fontId="5" fillId="5" borderId="0" xfId="1" applyFont="1" applyFill="1" applyBorder="1" applyAlignment="1">
      <alignment horizontal="right"/>
    </xf>
    <xf numFmtId="165" fontId="8" fillId="0" borderId="0" xfId="1" applyFont="1" applyFill="1" applyBorder="1" applyAlignment="1">
      <alignment horizontal="right"/>
    </xf>
    <xf numFmtId="44" fontId="3" fillId="0" borderId="0" xfId="0" applyNumberFormat="1" applyFont="1" applyAlignment="1">
      <alignment horizontal="center" vertical="center"/>
    </xf>
    <xf numFmtId="0" fontId="3" fillId="4" borderId="50" xfId="0" applyFont="1" applyFill="1" applyBorder="1"/>
    <xf numFmtId="49" fontId="3" fillId="4" borderId="66" xfId="0" applyNumberFormat="1" applyFont="1" applyFill="1" applyBorder="1" applyAlignment="1">
      <alignment horizontal="center" vertical="center"/>
    </xf>
    <xf numFmtId="49" fontId="3" fillId="4" borderId="67" xfId="0" applyNumberFormat="1" applyFont="1" applyFill="1" applyBorder="1" applyAlignment="1">
      <alignment horizontal="center" vertical="center"/>
    </xf>
    <xf numFmtId="0" fontId="3" fillId="5" borderId="51" xfId="0" applyFont="1" applyFill="1" applyBorder="1"/>
    <xf numFmtId="49" fontId="3" fillId="5" borderId="68" xfId="0" applyNumberFormat="1" applyFont="1" applyFill="1" applyBorder="1" applyAlignment="1">
      <alignment horizontal="center" vertical="center"/>
    </xf>
    <xf numFmtId="165" fontId="5" fillId="0" borderId="68" xfId="1" applyFont="1" applyFill="1" applyBorder="1" applyAlignment="1">
      <alignment horizontal="right"/>
    </xf>
    <xf numFmtId="172" fontId="5" fillId="0" borderId="68" xfId="1" applyNumberFormat="1" applyFont="1" applyFill="1" applyBorder="1" applyAlignment="1">
      <alignment horizontal="right"/>
    </xf>
    <xf numFmtId="172" fontId="5" fillId="5" borderId="68" xfId="1" applyNumberFormat="1" applyFont="1" applyFill="1" applyBorder="1" applyAlignment="1">
      <alignment horizontal="right"/>
    </xf>
    <xf numFmtId="172" fontId="5" fillId="0" borderId="68" xfId="1" applyNumberFormat="1" applyFont="1" applyFill="1" applyBorder="1" applyAlignment="1"/>
    <xf numFmtId="0" fontId="3" fillId="4" borderId="51" xfId="0" applyFont="1" applyFill="1" applyBorder="1"/>
    <xf numFmtId="165" fontId="3" fillId="4" borderId="68" xfId="1" applyFont="1" applyFill="1" applyBorder="1" applyAlignment="1"/>
    <xf numFmtId="49" fontId="4" fillId="4" borderId="68" xfId="0" applyNumberFormat="1" applyFont="1" applyFill="1" applyBorder="1" applyAlignment="1">
      <alignment horizontal="center" vertical="center"/>
    </xf>
    <xf numFmtId="49" fontId="4" fillId="5" borderId="68" xfId="0" applyNumberFormat="1" applyFont="1" applyFill="1" applyBorder="1" applyAlignment="1">
      <alignment horizontal="center" vertical="center"/>
    </xf>
    <xf numFmtId="165" fontId="5" fillId="5" borderId="68" xfId="1" applyFont="1" applyFill="1" applyBorder="1" applyAlignment="1">
      <alignment horizontal="right"/>
    </xf>
    <xf numFmtId="49" fontId="5" fillId="5" borderId="68" xfId="0" applyNumberFormat="1" applyFont="1" applyFill="1" applyBorder="1" applyAlignment="1">
      <alignment horizontal="center" vertical="center"/>
    </xf>
    <xf numFmtId="165" fontId="8" fillId="0" borderId="68" xfId="1" applyFont="1" applyFill="1" applyBorder="1" applyAlignment="1">
      <alignment horizontal="right"/>
    </xf>
    <xf numFmtId="165" fontId="3" fillId="0" borderId="68" xfId="0" applyNumberFormat="1" applyFont="1" applyBorder="1"/>
    <xf numFmtId="0" fontId="3" fillId="4" borderId="52" xfId="0" applyFont="1" applyFill="1" applyBorder="1"/>
    <xf numFmtId="49" fontId="5" fillId="4" borderId="109" xfId="0" applyNumberFormat="1" applyFont="1" applyFill="1" applyBorder="1" applyAlignment="1">
      <alignment horizontal="center" vertical="center"/>
    </xf>
    <xf numFmtId="173" fontId="5" fillId="4" borderId="109" xfId="0" applyNumberFormat="1" applyFont="1" applyFill="1" applyBorder="1" applyAlignment="1">
      <alignment horizontal="center" vertical="center"/>
    </xf>
    <xf numFmtId="165" fontId="3" fillId="4" borderId="110" xfId="0" applyNumberFormat="1" applyFont="1" applyFill="1" applyBorder="1"/>
    <xf numFmtId="49" fontId="5" fillId="0" borderId="0" xfId="0" applyNumberFormat="1" applyFont="1" applyAlignment="1">
      <alignment horizontal="center" vertical="center"/>
    </xf>
    <xf numFmtId="173" fontId="8" fillId="0" borderId="0" xfId="0" applyNumberFormat="1" applyFont="1" applyAlignment="1">
      <alignment horizontal="center" vertical="center"/>
    </xf>
    <xf numFmtId="0" fontId="0" fillId="0" borderId="51" xfId="0" applyBorder="1"/>
    <xf numFmtId="0" fontId="0" fillId="0" borderId="68" xfId="0" applyBorder="1"/>
    <xf numFmtId="49" fontId="5" fillId="0" borderId="68" xfId="0" applyNumberFormat="1" applyFont="1" applyBorder="1" applyAlignment="1">
      <alignment horizontal="center" vertical="center"/>
    </xf>
    <xf numFmtId="0" fontId="5" fillId="0" borderId="68" xfId="0" applyFont="1" applyBorder="1"/>
    <xf numFmtId="0" fontId="3" fillId="0" borderId="51" xfId="0" applyFont="1" applyBorder="1" applyAlignment="1">
      <alignment horizontal="left" wrapText="1" readingOrder="1"/>
    </xf>
    <xf numFmtId="173" fontId="3" fillId="0" borderId="0" xfId="0" applyNumberFormat="1" applyFont="1" applyAlignment="1">
      <alignment horizontal="left" wrapText="1" readingOrder="1"/>
    </xf>
    <xf numFmtId="44" fontId="3" fillId="0" borderId="0" xfId="0" applyNumberFormat="1" applyFont="1" applyAlignment="1">
      <alignment horizontal="left" wrapText="1" readingOrder="1"/>
    </xf>
    <xf numFmtId="0" fontId="5" fillId="0" borderId="51" xfId="0" applyFont="1" applyBorder="1" applyAlignment="1">
      <alignment horizontal="left" wrapText="1" readingOrder="1"/>
    </xf>
    <xf numFmtId="173" fontId="5" fillId="0" borderId="0" xfId="0" applyNumberFormat="1" applyFont="1" applyAlignment="1">
      <alignment horizontal="left" wrapText="1" readingOrder="1"/>
    </xf>
    <xf numFmtId="173" fontId="5" fillId="0" borderId="68" xfId="1" applyNumberFormat="1" applyFont="1" applyFill="1" applyBorder="1" applyAlignment="1">
      <alignment horizontal="right" wrapText="1" readingOrder="1"/>
    </xf>
    <xf numFmtId="173" fontId="5" fillId="0" borderId="68" xfId="1" applyNumberFormat="1" applyFont="1" applyFill="1" applyBorder="1" applyAlignment="1">
      <alignment horizontal="left" wrapText="1" readingOrder="1"/>
    </xf>
    <xf numFmtId="173" fontId="3" fillId="0" borderId="68" xfId="1" applyNumberFormat="1" applyFont="1" applyFill="1" applyBorder="1" applyAlignment="1">
      <alignment horizontal="right" wrapText="1" readingOrder="1"/>
    </xf>
    <xf numFmtId="173" fontId="5" fillId="0" borderId="68" xfId="0" applyNumberFormat="1" applyFont="1" applyBorder="1" applyAlignment="1">
      <alignment horizontal="right" wrapText="1" readingOrder="1"/>
    </xf>
    <xf numFmtId="173" fontId="3" fillId="0" borderId="68" xfId="0" applyNumberFormat="1" applyFont="1" applyBorder="1" applyAlignment="1">
      <alignment horizontal="right" wrapText="1" readingOrder="1"/>
    </xf>
    <xf numFmtId="0" fontId="3" fillId="0" borderId="68" xfId="0" applyFont="1" applyBorder="1" applyAlignment="1">
      <alignment horizontal="right" wrapText="1" readingOrder="1"/>
    </xf>
    <xf numFmtId="0" fontId="5" fillId="0" borderId="68" xfId="0" applyFont="1" applyBorder="1" applyAlignment="1">
      <alignment horizontal="right" wrapText="1" readingOrder="1"/>
    </xf>
    <xf numFmtId="0" fontId="3" fillId="0" borderId="50" xfId="0" applyFont="1" applyBorder="1" applyAlignment="1">
      <alignment horizontal="left" wrapText="1" readingOrder="1"/>
    </xf>
    <xf numFmtId="173" fontId="3" fillId="0" borderId="66" xfId="0" applyNumberFormat="1" applyFont="1" applyBorder="1" applyAlignment="1">
      <alignment horizontal="left" wrapText="1" readingOrder="1"/>
    </xf>
    <xf numFmtId="44" fontId="3" fillId="0" borderId="66" xfId="0" applyNumberFormat="1" applyFont="1" applyBorder="1" applyAlignment="1">
      <alignment horizontal="left" wrapText="1" readingOrder="1"/>
    </xf>
    <xf numFmtId="173" fontId="3" fillId="0" borderId="67" xfId="0" applyNumberFormat="1" applyFont="1" applyBorder="1" applyAlignment="1">
      <alignment horizontal="left" wrapText="1" readingOrder="1"/>
    </xf>
    <xf numFmtId="0" fontId="20" fillId="0" borderId="50" xfId="0" applyFont="1" applyBorder="1" applyAlignment="1">
      <alignment wrapText="1"/>
    </xf>
    <xf numFmtId="173" fontId="20" fillId="0" borderId="66" xfId="0" applyNumberFormat="1" applyFont="1" applyBorder="1" applyAlignment="1">
      <alignment wrapText="1"/>
    </xf>
    <xf numFmtId="44" fontId="20" fillId="0" borderId="66" xfId="0" applyNumberFormat="1" applyFont="1" applyBorder="1" applyAlignment="1">
      <alignment wrapText="1"/>
    </xf>
    <xf numFmtId="0" fontId="20" fillId="0" borderId="67" xfId="0" applyFont="1" applyBorder="1" applyAlignment="1">
      <alignment horizontal="right" wrapText="1"/>
    </xf>
    <xf numFmtId="0" fontId="21" fillId="0" borderId="50" xfId="0" applyFont="1" applyBorder="1" applyAlignment="1">
      <alignment horizontal="left" wrapText="1" readingOrder="1"/>
    </xf>
    <xf numFmtId="173" fontId="21" fillId="0" borderId="66" xfId="0" applyNumberFormat="1" applyFont="1" applyBorder="1" applyAlignment="1">
      <alignment horizontal="left" wrapText="1" readingOrder="1"/>
    </xf>
    <xf numFmtId="44" fontId="21" fillId="0" borderId="66" xfId="0" applyNumberFormat="1" applyFont="1" applyBorder="1" applyAlignment="1">
      <alignment horizontal="left" wrapText="1" readingOrder="1"/>
    </xf>
    <xf numFmtId="0" fontId="21" fillId="0" borderId="67" xfId="0" applyFont="1" applyBorder="1" applyAlignment="1">
      <alignment horizontal="right" wrapText="1" readingOrder="1"/>
    </xf>
    <xf numFmtId="0" fontId="5" fillId="0" borderId="52" xfId="0" applyFont="1" applyBorder="1" applyAlignment="1">
      <alignment horizontal="left" wrapText="1" readingOrder="1"/>
    </xf>
    <xf numFmtId="173" fontId="5" fillId="0" borderId="109" xfId="0" applyNumberFormat="1" applyFont="1" applyBorder="1" applyAlignment="1">
      <alignment horizontal="left" wrapText="1" readingOrder="1"/>
    </xf>
    <xf numFmtId="44" fontId="5" fillId="0" borderId="109" xfId="0" applyNumberFormat="1" applyFont="1" applyBorder="1" applyAlignment="1">
      <alignment horizontal="left" wrapText="1" readingOrder="1"/>
    </xf>
    <xf numFmtId="44" fontId="5" fillId="0" borderId="66" xfId="0" applyNumberFormat="1" applyFont="1" applyBorder="1" applyAlignment="1">
      <alignment horizontal="left" wrapText="1" readingOrder="1"/>
    </xf>
    <xf numFmtId="173" fontId="5" fillId="0" borderId="67" xfId="0" applyNumberFormat="1" applyFont="1" applyBorder="1" applyAlignment="1">
      <alignment horizontal="right" wrapText="1" readingOrder="1"/>
    </xf>
    <xf numFmtId="0" fontId="2" fillId="14" borderId="50" xfId="0" applyFont="1" applyFill="1" applyBorder="1" applyAlignment="1">
      <alignment horizontal="center"/>
    </xf>
    <xf numFmtId="173" fontId="2" fillId="14" borderId="66" xfId="0" applyNumberFormat="1" applyFont="1" applyFill="1" applyBorder="1" applyAlignment="1">
      <alignment horizontal="center"/>
    </xf>
    <xf numFmtId="0" fontId="2" fillId="14" borderId="66" xfId="13" applyFont="1" applyFill="1" applyBorder="1" applyAlignment="1">
      <alignment horizontal="center" wrapText="1"/>
    </xf>
    <xf numFmtId="0" fontId="2" fillId="14" borderId="67" xfId="13" applyFont="1" applyFill="1" applyBorder="1" applyAlignment="1">
      <alignment horizontal="center" wrapText="1"/>
    </xf>
    <xf numFmtId="44" fontId="5" fillId="0" borderId="68" xfId="0" applyNumberFormat="1" applyFont="1" applyBorder="1" applyAlignment="1">
      <alignment horizontal="left" wrapText="1" readingOrder="1"/>
    </xf>
    <xf numFmtId="44" fontId="5" fillId="0" borderId="110" xfId="0" applyNumberFormat="1" applyFont="1" applyBorder="1" applyAlignment="1">
      <alignment horizontal="left" wrapText="1" readingOrder="1"/>
    </xf>
    <xf numFmtId="44" fontId="0" fillId="0" borderId="0" xfId="0" applyNumberFormat="1"/>
    <xf numFmtId="0" fontId="3" fillId="15" borderId="0" xfId="0" applyFont="1" applyFill="1" applyAlignment="1">
      <alignment horizontal="center"/>
    </xf>
    <xf numFmtId="173" fontId="3" fillId="15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71" fontId="5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1" fontId="3" fillId="15" borderId="0" xfId="0" applyNumberFormat="1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2" fillId="16" borderId="111" xfId="0" applyFont="1" applyFill="1" applyBorder="1" applyAlignment="1">
      <alignment horizontal="center" wrapText="1"/>
    </xf>
    <xf numFmtId="0" fontId="2" fillId="16" borderId="111" xfId="0" applyFont="1" applyFill="1" applyBorder="1" applyAlignment="1">
      <alignment horizontal="center"/>
    </xf>
    <xf numFmtId="0" fontId="3" fillId="17" borderId="50" xfId="0" applyFont="1" applyFill="1" applyBorder="1" applyAlignment="1">
      <alignment wrapText="1"/>
    </xf>
    <xf numFmtId="0" fontId="3" fillId="17" borderId="66" xfId="0" applyFont="1" applyFill="1" applyBorder="1" applyAlignment="1">
      <alignment horizontal="center"/>
    </xf>
    <xf numFmtId="171" fontId="3" fillId="17" borderId="66" xfId="0" applyNumberFormat="1" applyFont="1" applyFill="1" applyBorder="1"/>
    <xf numFmtId="171" fontId="3" fillId="17" borderId="67" xfId="0" applyNumberFormat="1" applyFont="1" applyFill="1" applyBorder="1"/>
    <xf numFmtId="0" fontId="3" fillId="15" borderId="51" xfId="0" applyFont="1" applyFill="1" applyBorder="1" applyAlignment="1">
      <alignment wrapText="1"/>
    </xf>
    <xf numFmtId="173" fontId="3" fillId="15" borderId="68" xfId="0" applyNumberFormat="1" applyFont="1" applyFill="1" applyBorder="1" applyAlignment="1">
      <alignment horizontal="center"/>
    </xf>
    <xf numFmtId="0" fontId="5" fillId="0" borderId="51" xfId="0" applyFont="1" applyBorder="1" applyAlignment="1">
      <alignment wrapText="1"/>
    </xf>
    <xf numFmtId="171" fontId="3" fillId="15" borderId="68" xfId="0" applyNumberFormat="1" applyFont="1" applyFill="1" applyBorder="1" applyAlignment="1">
      <alignment horizontal="center"/>
    </xf>
    <xf numFmtId="0" fontId="3" fillId="15" borderId="51" xfId="0" applyFont="1" applyFill="1" applyBorder="1"/>
    <xf numFmtId="0" fontId="3" fillId="0" borderId="51" xfId="0" applyFont="1" applyBorder="1" applyAlignment="1">
      <alignment wrapText="1"/>
    </xf>
    <xf numFmtId="171" fontId="5" fillId="0" borderId="68" xfId="0" applyNumberFormat="1" applyFont="1" applyBorder="1" applyAlignment="1">
      <alignment horizontal="center"/>
    </xf>
    <xf numFmtId="0" fontId="3" fillId="17" borderId="52" xfId="0" applyFont="1" applyFill="1" applyBorder="1" applyAlignment="1">
      <alignment wrapText="1"/>
    </xf>
    <xf numFmtId="0" fontId="5" fillId="17" borderId="109" xfId="0" applyFont="1" applyFill="1" applyBorder="1" applyAlignment="1">
      <alignment horizontal="center"/>
    </xf>
    <xf numFmtId="171" fontId="3" fillId="17" borderId="109" xfId="0" applyNumberFormat="1" applyFont="1" applyFill="1" applyBorder="1" applyAlignment="1">
      <alignment horizontal="center"/>
    </xf>
    <xf numFmtId="171" fontId="3" fillId="17" borderId="110" xfId="0" applyNumberFormat="1" applyFont="1" applyFill="1" applyBorder="1" applyAlignment="1">
      <alignment horizontal="center"/>
    </xf>
    <xf numFmtId="171" fontId="5" fillId="0" borderId="0" xfId="0" applyNumberFormat="1" applyFont="1"/>
    <xf numFmtId="171" fontId="5" fillId="0" borderId="68" xfId="0" applyNumberFormat="1" applyFont="1" applyBorder="1"/>
    <xf numFmtId="171" fontId="5" fillId="0" borderId="0" xfId="0" applyNumberFormat="1" applyFont="1" applyAlignment="1">
      <alignment horizontal="center" wrapText="1"/>
    </xf>
    <xf numFmtId="0" fontId="8" fillId="0" borderId="5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68" xfId="0" applyFont="1" applyBorder="1"/>
    <xf numFmtId="44" fontId="5" fillId="0" borderId="0" xfId="0" applyNumberFormat="1" applyFont="1" applyAlignment="1">
      <alignment horizontal="center"/>
    </xf>
    <xf numFmtId="0" fontId="3" fillId="15" borderId="50" xfId="0" applyFont="1" applyFill="1" applyBorder="1" applyAlignment="1">
      <alignment wrapText="1"/>
    </xf>
    <xf numFmtId="0" fontId="3" fillId="15" borderId="66" xfId="0" applyFont="1" applyFill="1" applyBorder="1" applyAlignment="1">
      <alignment horizontal="center"/>
    </xf>
    <xf numFmtId="173" fontId="3" fillId="15" borderId="66" xfId="0" applyNumberFormat="1" applyFont="1" applyFill="1" applyBorder="1" applyAlignment="1">
      <alignment horizontal="center"/>
    </xf>
    <xf numFmtId="173" fontId="3" fillId="15" borderId="67" xfId="0" applyNumberFormat="1" applyFont="1" applyFill="1" applyBorder="1" applyAlignment="1">
      <alignment horizontal="center"/>
    </xf>
    <xf numFmtId="171" fontId="3" fillId="15" borderId="66" xfId="0" applyNumberFormat="1" applyFont="1" applyFill="1" applyBorder="1" applyAlignment="1">
      <alignment horizontal="center"/>
    </xf>
    <xf numFmtId="171" fontId="3" fillId="15" borderId="67" xfId="0" applyNumberFormat="1" applyFont="1" applyFill="1" applyBorder="1" applyAlignment="1">
      <alignment horizontal="center"/>
    </xf>
    <xf numFmtId="0" fontId="3" fillId="15" borderId="50" xfId="0" applyFont="1" applyFill="1" applyBorder="1"/>
    <xf numFmtId="171" fontId="3" fillId="15" borderId="67" xfId="0" applyNumberFormat="1" applyFont="1" applyFill="1" applyBorder="1"/>
    <xf numFmtId="0" fontId="5" fillId="0" borderId="109" xfId="0" applyFont="1" applyBorder="1" applyAlignment="1">
      <alignment horizontal="center"/>
    </xf>
    <xf numFmtId="171" fontId="3" fillId="15" borderId="66" xfId="0" applyNumberFormat="1" applyFont="1" applyFill="1" applyBorder="1"/>
    <xf numFmtId="0" fontId="5" fillId="0" borderId="52" xfId="0" applyFont="1" applyBorder="1" applyAlignment="1">
      <alignment wrapText="1"/>
    </xf>
    <xf numFmtId="171" fontId="5" fillId="0" borderId="109" xfId="0" applyNumberFormat="1" applyFont="1" applyBorder="1" applyAlignment="1">
      <alignment horizontal="center"/>
    </xf>
    <xf numFmtId="171" fontId="5" fillId="0" borderId="109" xfId="0" applyNumberFormat="1" applyFont="1" applyBorder="1"/>
    <xf numFmtId="171" fontId="5" fillId="0" borderId="110" xfId="0" applyNumberFormat="1" applyFont="1" applyBorder="1"/>
    <xf numFmtId="44" fontId="3" fillId="15" borderId="30" xfId="0" applyNumberFormat="1" applyFont="1" applyFill="1" applyBorder="1"/>
    <xf numFmtId="44" fontId="3" fillId="4" borderId="112" xfId="0" applyNumberFormat="1" applyFont="1" applyFill="1" applyBorder="1"/>
    <xf numFmtId="173" fontId="5" fillId="0" borderId="66" xfId="0" applyNumberFormat="1" applyFont="1" applyBorder="1" applyAlignment="1">
      <alignment horizontal="left" wrapText="1" readingOrder="1"/>
    </xf>
    <xf numFmtId="49" fontId="3" fillId="15" borderId="82" xfId="0" applyNumberFormat="1" applyFont="1" applyFill="1" applyBorder="1"/>
    <xf numFmtId="44" fontId="3" fillId="15" borderId="0" xfId="0" applyNumberFormat="1" applyFont="1" applyFill="1"/>
    <xf numFmtId="175" fontId="3" fillId="15" borderId="68" xfId="2" applyNumberFormat="1" applyFont="1" applyFill="1" applyBorder="1"/>
    <xf numFmtId="176" fontId="5" fillId="0" borderId="0" xfId="0" applyNumberFormat="1" applyFont="1"/>
    <xf numFmtId="177" fontId="3" fillId="4" borderId="57" xfId="0" applyNumberFormat="1" applyFont="1" applyFill="1" applyBorder="1"/>
    <xf numFmtId="177" fontId="5" fillId="0" borderId="47" xfId="0" applyNumberFormat="1" applyFont="1" applyBorder="1"/>
    <xf numFmtId="177" fontId="3" fillId="4" borderId="30" xfId="0" applyNumberFormat="1" applyFont="1" applyFill="1" applyBorder="1"/>
    <xf numFmtId="177" fontId="3" fillId="4" borderId="29" xfId="0" applyNumberFormat="1" applyFont="1" applyFill="1" applyBorder="1"/>
    <xf numFmtId="177" fontId="5" fillId="0" borderId="0" xfId="0" applyNumberFormat="1" applyFont="1"/>
    <xf numFmtId="177" fontId="3" fillId="4" borderId="0" xfId="0" applyNumberFormat="1" applyFont="1" applyFill="1"/>
    <xf numFmtId="177" fontId="3" fillId="15" borderId="0" xfId="0" applyNumberFormat="1" applyFont="1" applyFill="1"/>
    <xf numFmtId="177" fontId="3" fillId="10" borderId="66" xfId="0" applyNumberFormat="1" applyFont="1" applyFill="1" applyBorder="1"/>
    <xf numFmtId="177" fontId="3" fillId="4" borderId="65" xfId="0" applyNumberFormat="1" applyFont="1" applyFill="1" applyBorder="1"/>
    <xf numFmtId="177" fontId="3" fillId="0" borderId="19" xfId="0" applyNumberFormat="1" applyFont="1" applyBorder="1"/>
    <xf numFmtId="177" fontId="3" fillId="0" borderId="0" xfId="0" applyNumberFormat="1" applyFont="1"/>
    <xf numFmtId="177" fontId="3" fillId="0" borderId="27" xfId="0" applyNumberFormat="1" applyFont="1" applyBorder="1"/>
    <xf numFmtId="177" fontId="3" fillId="0" borderId="24" xfId="0" applyNumberFormat="1" applyFont="1" applyBorder="1"/>
    <xf numFmtId="177" fontId="5" fillId="0" borderId="14" xfId="0" applyNumberFormat="1" applyFont="1" applyBorder="1"/>
    <xf numFmtId="177" fontId="5" fillId="0" borderId="10" xfId="0" applyNumberFormat="1" applyFont="1" applyBorder="1"/>
    <xf numFmtId="177" fontId="15" fillId="0" borderId="39" xfId="0" applyNumberFormat="1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7" fontId="6" fillId="0" borderId="0" xfId="0" applyNumberFormat="1" applyFont="1"/>
    <xf numFmtId="49" fontId="6" fillId="3" borderId="73" xfId="0" applyNumberFormat="1" applyFont="1" applyFill="1" applyBorder="1"/>
    <xf numFmtId="177" fontId="3" fillId="4" borderId="31" xfId="0" applyNumberFormat="1" applyFont="1" applyFill="1" applyBorder="1"/>
    <xf numFmtId="0" fontId="2" fillId="14" borderId="66" xfId="0" applyFont="1" applyFill="1" applyBorder="1" applyAlignment="1">
      <alignment horizontal="center"/>
    </xf>
    <xf numFmtId="0" fontId="3" fillId="0" borderId="66" xfId="0" applyFont="1" applyBorder="1" applyAlignment="1">
      <alignment horizontal="left" wrapText="1" readingOrder="1"/>
    </xf>
    <xf numFmtId="0" fontId="3" fillId="0" borderId="0" xfId="0" applyFont="1" applyAlignment="1">
      <alignment horizontal="left" wrapText="1" readingOrder="1"/>
    </xf>
    <xf numFmtId="0" fontId="20" fillId="0" borderId="66" xfId="0" applyFont="1" applyBorder="1" applyAlignment="1">
      <alignment wrapText="1"/>
    </xf>
    <xf numFmtId="0" fontId="21" fillId="0" borderId="66" xfId="0" applyFont="1" applyBorder="1" applyAlignment="1">
      <alignment horizontal="left" wrapText="1" readingOrder="1"/>
    </xf>
    <xf numFmtId="49" fontId="3" fillId="15" borderId="0" xfId="0" applyNumberFormat="1" applyFont="1" applyFill="1"/>
    <xf numFmtId="173" fontId="3" fillId="4" borderId="0" xfId="0" applyNumberFormat="1" applyFont="1" applyFill="1"/>
    <xf numFmtId="0" fontId="3" fillId="18" borderId="117" xfId="0" applyFont="1" applyFill="1" applyBorder="1"/>
    <xf numFmtId="0" fontId="3" fillId="19" borderId="117" xfId="0" applyFont="1" applyFill="1" applyBorder="1"/>
    <xf numFmtId="0" fontId="5" fillId="20" borderId="117" xfId="0" applyFont="1" applyFill="1" applyBorder="1"/>
    <xf numFmtId="8" fontId="5" fillId="20" borderId="117" xfId="0" applyNumberFormat="1" applyFont="1" applyFill="1" applyBorder="1"/>
    <xf numFmtId="0" fontId="5" fillId="0" borderId="117" xfId="0" applyFont="1" applyBorder="1"/>
    <xf numFmtId="0" fontId="5" fillId="19" borderId="117" xfId="0" applyFont="1" applyFill="1" applyBorder="1"/>
    <xf numFmtId="8" fontId="5" fillId="0" borderId="117" xfId="0" applyNumberFormat="1" applyFont="1" applyBorder="1"/>
    <xf numFmtId="0" fontId="5" fillId="20" borderId="118" xfId="0" applyFont="1" applyFill="1" applyBorder="1"/>
    <xf numFmtId="8" fontId="5" fillId="20" borderId="118" xfId="0" applyNumberFormat="1" applyFont="1" applyFill="1" applyBorder="1"/>
    <xf numFmtId="0" fontId="5" fillId="19" borderId="0" xfId="0" applyFont="1" applyFill="1"/>
    <xf numFmtId="8" fontId="5" fillId="20" borderId="119" xfId="0" applyNumberFormat="1" applyFont="1" applyFill="1" applyBorder="1"/>
    <xf numFmtId="8" fontId="3" fillId="17" borderId="120" xfId="0" applyNumberFormat="1" applyFont="1" applyFill="1" applyBorder="1"/>
    <xf numFmtId="0" fontId="5" fillId="17" borderId="121" xfId="0" applyFont="1" applyFill="1" applyBorder="1"/>
    <xf numFmtId="0" fontId="5" fillId="19" borderId="119" xfId="0" applyFont="1" applyFill="1" applyBorder="1"/>
    <xf numFmtId="0" fontId="5" fillId="20" borderId="0" xfId="0" applyFont="1" applyFill="1"/>
    <xf numFmtId="8" fontId="3" fillId="17" borderId="109" xfId="0" applyNumberFormat="1" applyFont="1" applyFill="1" applyBorder="1"/>
    <xf numFmtId="8" fontId="3" fillId="17" borderId="122" xfId="0" applyNumberFormat="1" applyFont="1" applyFill="1" applyBorder="1"/>
    <xf numFmtId="0" fontId="5" fillId="19" borderId="121" xfId="0" applyFont="1" applyFill="1" applyBorder="1"/>
    <xf numFmtId="8" fontId="3" fillId="21" borderId="122" xfId="0" applyNumberFormat="1" applyFont="1" applyFill="1" applyBorder="1"/>
    <xf numFmtId="8" fontId="3" fillId="0" borderId="123" xfId="0" applyNumberFormat="1" applyFont="1" applyBorder="1"/>
    <xf numFmtId="8" fontId="3" fillId="0" borderId="124" xfId="0" applyNumberFormat="1" applyFont="1" applyBorder="1"/>
    <xf numFmtId="8" fontId="3" fillId="21" borderId="125" xfId="0" applyNumberFormat="1" applyFont="1" applyFill="1" applyBorder="1"/>
    <xf numFmtId="0" fontId="3" fillId="17" borderId="121" xfId="0" applyFont="1" applyFill="1" applyBorder="1"/>
    <xf numFmtId="0" fontId="5" fillId="0" borderId="117" xfId="0" quotePrefix="1" applyFont="1" applyBorder="1"/>
    <xf numFmtId="8" fontId="5" fillId="0" borderId="0" xfId="0" applyNumberFormat="1" applyFont="1"/>
    <xf numFmtId="8" fontId="3" fillId="17" borderId="118" xfId="0" applyNumberFormat="1" applyFont="1" applyFill="1" applyBorder="1"/>
    <xf numFmtId="0" fontId="5" fillId="0" borderId="118" xfId="0" applyFont="1" applyBorder="1"/>
    <xf numFmtId="8" fontId="5" fillId="0" borderId="118" xfId="0" applyNumberFormat="1" applyFont="1" applyBorder="1"/>
    <xf numFmtId="0" fontId="5" fillId="0" borderId="126" xfId="0" applyFont="1" applyBorder="1"/>
    <xf numFmtId="0" fontId="5" fillId="0" borderId="127" xfId="0" applyFont="1" applyBorder="1"/>
    <xf numFmtId="0" fontId="2" fillId="22" borderId="121" xfId="0" applyFont="1" applyFill="1" applyBorder="1" applyAlignment="1">
      <alignment horizontal="center" vertical="center" wrapText="1"/>
    </xf>
    <xf numFmtId="0" fontId="2" fillId="22" borderId="121" xfId="0" applyFont="1" applyFill="1" applyBorder="1" applyAlignment="1">
      <alignment horizontal="center" wrapText="1"/>
    </xf>
    <xf numFmtId="49" fontId="6" fillId="8" borderId="48" xfId="4" applyNumberFormat="1" applyFont="1" applyFill="1" applyBorder="1"/>
    <xf numFmtId="49" fontId="6" fillId="8" borderId="2" xfId="4" applyNumberFormat="1" applyFont="1" applyFill="1" applyBorder="1" applyAlignment="1">
      <alignment horizontal="center" vertical="center"/>
    </xf>
    <xf numFmtId="8" fontId="5" fillId="8" borderId="117" xfId="0" applyNumberFormat="1" applyFont="1" applyFill="1" applyBorder="1"/>
    <xf numFmtId="0" fontId="5" fillId="8" borderId="117" xfId="0" applyFont="1" applyFill="1" applyBorder="1"/>
    <xf numFmtId="49" fontId="5" fillId="8" borderId="2" xfId="7" applyNumberFormat="1" applyFont="1" applyFill="1" applyBorder="1" applyAlignment="1">
      <alignment horizontal="center" vertical="center"/>
    </xf>
    <xf numFmtId="44" fontId="5" fillId="8" borderId="15" xfId="1" applyNumberFormat="1" applyFont="1" applyFill="1" applyBorder="1" applyAlignment="1">
      <alignment horizontal="center" vertical="center"/>
    </xf>
    <xf numFmtId="165" fontId="5" fillId="8" borderId="78" xfId="1" applyFont="1" applyFill="1" applyBorder="1" applyAlignment="1">
      <alignment horizontal="right" vertical="center"/>
    </xf>
    <xf numFmtId="0" fontId="5" fillId="8" borderId="48" xfId="0" applyFont="1" applyFill="1" applyBorder="1"/>
    <xf numFmtId="0" fontId="5" fillId="8" borderId="2" xfId="0" applyFont="1" applyFill="1" applyBorder="1" applyAlignment="1">
      <alignment horizontal="center" vertical="center"/>
    </xf>
    <xf numFmtId="173" fontId="5" fillId="8" borderId="15" xfId="0" applyNumberFormat="1" applyFont="1" applyFill="1" applyBorder="1" applyAlignment="1">
      <alignment horizontal="center" vertical="center"/>
    </xf>
    <xf numFmtId="0" fontId="8" fillId="8" borderId="48" xfId="0" applyFont="1" applyFill="1" applyBorder="1"/>
    <xf numFmtId="0" fontId="8" fillId="8" borderId="2" xfId="0" applyFont="1" applyFill="1" applyBorder="1" applyAlignment="1">
      <alignment horizontal="center" vertical="center"/>
    </xf>
    <xf numFmtId="173" fontId="8" fillId="8" borderId="15" xfId="0" applyNumberFormat="1" applyFont="1" applyFill="1" applyBorder="1" applyAlignment="1">
      <alignment horizontal="center" vertical="center"/>
    </xf>
    <xf numFmtId="171" fontId="5" fillId="8" borderId="15" xfId="0" applyNumberFormat="1" applyFont="1" applyFill="1" applyBorder="1" applyAlignment="1">
      <alignment horizontal="center" vertical="center"/>
    </xf>
    <xf numFmtId="171" fontId="5" fillId="8" borderId="78" xfId="0" applyNumberFormat="1" applyFont="1" applyFill="1" applyBorder="1" applyAlignment="1">
      <alignment horizontal="center" vertical="center"/>
    </xf>
    <xf numFmtId="171" fontId="8" fillId="0" borderId="15" xfId="0" applyNumberFormat="1" applyFont="1" applyBorder="1" applyAlignment="1">
      <alignment horizontal="center" vertical="center"/>
    </xf>
    <xf numFmtId="8" fontId="8" fillId="8" borderId="117" xfId="0" applyNumberFormat="1" applyFont="1" applyFill="1" applyBorder="1"/>
    <xf numFmtId="171" fontId="8" fillId="8" borderId="15" xfId="0" applyNumberFormat="1" applyFont="1" applyFill="1" applyBorder="1" applyAlignment="1">
      <alignment horizontal="center" vertical="center"/>
    </xf>
    <xf numFmtId="171" fontId="8" fillId="8" borderId="78" xfId="0" applyNumberFormat="1" applyFont="1" applyFill="1" applyBorder="1" applyAlignment="1">
      <alignment horizontal="center" vertical="center"/>
    </xf>
    <xf numFmtId="173" fontId="3" fillId="10" borderId="66" xfId="0" applyNumberFormat="1" applyFont="1" applyFill="1" applyBorder="1"/>
    <xf numFmtId="0" fontId="5" fillId="20" borderId="128" xfId="0" applyFont="1" applyFill="1" applyBorder="1"/>
    <xf numFmtId="49" fontId="6" fillId="3" borderId="15" xfId="5" applyNumberFormat="1" applyFont="1" applyFill="1" applyBorder="1" applyAlignment="1">
      <alignment horizontal="center" vertical="center"/>
    </xf>
    <xf numFmtId="49" fontId="6" fillId="8" borderId="15" xfId="5" applyNumberFormat="1" applyFont="1" applyFill="1" applyBorder="1" applyAlignment="1">
      <alignment horizontal="center" vertical="center"/>
    </xf>
    <xf numFmtId="0" fontId="6" fillId="5" borderId="15" xfId="5" applyFont="1" applyFill="1" applyBorder="1" applyAlignment="1">
      <alignment horizontal="center" vertical="center"/>
    </xf>
    <xf numFmtId="0" fontId="6" fillId="4" borderId="35" xfId="4" applyFont="1" applyFill="1" applyBorder="1" applyAlignment="1">
      <alignment horizontal="center" vertical="center"/>
    </xf>
    <xf numFmtId="0" fontId="6" fillId="5" borderId="42" xfId="4" applyFont="1" applyFill="1" applyBorder="1" applyAlignment="1">
      <alignment horizontal="center" vertical="center"/>
    </xf>
    <xf numFmtId="49" fontId="6" fillId="3" borderId="15" xfId="4" applyNumberFormat="1" applyFont="1" applyFill="1" applyBorder="1" applyAlignment="1">
      <alignment horizontal="center" vertical="center"/>
    </xf>
    <xf numFmtId="0" fontId="6" fillId="5" borderId="35" xfId="4" applyFont="1" applyFill="1" applyBorder="1" applyAlignment="1">
      <alignment horizontal="center" vertical="center"/>
    </xf>
    <xf numFmtId="177" fontId="3" fillId="4" borderId="114" xfId="0" applyNumberFormat="1" applyFont="1" applyFill="1" applyBorder="1"/>
    <xf numFmtId="173" fontId="8" fillId="0" borderId="0" xfId="0" applyNumberFormat="1" applyFont="1"/>
    <xf numFmtId="173" fontId="6" fillId="3" borderId="15" xfId="5" applyNumberFormat="1" applyFont="1" applyFill="1" applyBorder="1" applyAlignment="1">
      <alignment horizontal="center" vertical="center"/>
    </xf>
    <xf numFmtId="44" fontId="6" fillId="0" borderId="15" xfId="1" applyNumberFormat="1" applyFont="1" applyBorder="1" applyAlignment="1">
      <alignment horizontal="center" vertical="center"/>
    </xf>
    <xf numFmtId="173" fontId="6" fillId="0" borderId="0" xfId="0" applyNumberFormat="1" applyFont="1"/>
    <xf numFmtId="173" fontId="5" fillId="20" borderId="117" xfId="0" applyNumberFormat="1" applyFont="1" applyFill="1" applyBorder="1"/>
    <xf numFmtId="173" fontId="8" fillId="0" borderId="117" xfId="0" applyNumberFormat="1" applyFont="1" applyBorder="1"/>
    <xf numFmtId="173" fontId="6" fillId="5" borderId="0" xfId="4" applyNumberFormat="1" applyFont="1" applyFill="1" applyAlignment="1">
      <alignment horizontal="center" vertical="center"/>
    </xf>
    <xf numFmtId="173" fontId="6" fillId="0" borderId="0" xfId="4" applyNumberFormat="1" applyFont="1" applyAlignment="1">
      <alignment horizontal="center" vertical="center"/>
    </xf>
    <xf numFmtId="173" fontId="6" fillId="3" borderId="0" xfId="4" applyNumberFormat="1" applyFont="1" applyFill="1" applyAlignment="1">
      <alignment horizontal="center" vertical="center"/>
    </xf>
    <xf numFmtId="173" fontId="5" fillId="0" borderId="0" xfId="0" quotePrefix="1" applyNumberFormat="1" applyFont="1" applyAlignment="1">
      <alignment horizontal="center" vertical="center"/>
    </xf>
    <xf numFmtId="0" fontId="15" fillId="22" borderId="113" xfId="0" applyFont="1" applyFill="1" applyBorder="1" applyAlignment="1">
      <alignment vertical="center"/>
    </xf>
    <xf numFmtId="0" fontId="15" fillId="22" borderId="114" xfId="0" applyFont="1" applyFill="1" applyBorder="1" applyAlignment="1">
      <alignment vertical="center"/>
    </xf>
    <xf numFmtId="177" fontId="15" fillId="22" borderId="114" xfId="0" applyNumberFormat="1" applyFont="1" applyFill="1" applyBorder="1" applyAlignment="1">
      <alignment vertical="center"/>
    </xf>
    <xf numFmtId="49" fontId="15" fillId="22" borderId="17" xfId="0" applyNumberFormat="1" applyFont="1" applyFill="1" applyBorder="1" applyAlignment="1">
      <alignment horizontal="center" vertical="center"/>
    </xf>
    <xf numFmtId="173" fontId="11" fillId="22" borderId="84" xfId="0" applyNumberFormat="1" applyFont="1" applyFill="1" applyBorder="1" applyAlignment="1">
      <alignment horizontal="center" vertical="center" wrapText="1"/>
    </xf>
    <xf numFmtId="173" fontId="11" fillId="22" borderId="0" xfId="0" applyNumberFormat="1" applyFont="1" applyFill="1" applyAlignment="1">
      <alignment horizontal="center" vertical="center" wrapText="1"/>
    </xf>
    <xf numFmtId="49" fontId="15" fillId="22" borderId="31" xfId="0" applyNumberFormat="1" applyFont="1" applyFill="1" applyBorder="1" applyAlignment="1">
      <alignment horizontal="center" vertical="center"/>
    </xf>
    <xf numFmtId="177" fontId="15" fillId="22" borderId="31" xfId="0" applyNumberFormat="1" applyFont="1" applyFill="1" applyBorder="1" applyAlignment="1">
      <alignment horizontal="center" vertical="center"/>
    </xf>
    <xf numFmtId="0" fontId="13" fillId="20" borderId="51" xfId="0" applyFont="1" applyFill="1" applyBorder="1"/>
    <xf numFmtId="165" fontId="8" fillId="20" borderId="115" xfId="1" applyFont="1" applyFill="1" applyBorder="1"/>
    <xf numFmtId="165" fontId="8" fillId="20" borderId="116" xfId="1" applyFont="1" applyFill="1" applyBorder="1"/>
    <xf numFmtId="0" fontId="5" fillId="20" borderId="51" xfId="0" applyFont="1" applyFill="1" applyBorder="1"/>
    <xf numFmtId="44" fontId="5" fillId="20" borderId="47" xfId="0" applyNumberFormat="1" applyFont="1" applyFill="1" applyBorder="1"/>
    <xf numFmtId="49" fontId="15" fillId="22" borderId="40" xfId="0" applyNumberFormat="1" applyFont="1" applyFill="1" applyBorder="1" applyAlignment="1">
      <alignment horizontal="center" vertical="center"/>
    </xf>
    <xf numFmtId="49" fontId="15" fillId="22" borderId="41" xfId="0" applyNumberFormat="1" applyFont="1" applyFill="1" applyBorder="1" applyAlignment="1">
      <alignment horizontal="center" vertical="center"/>
    </xf>
    <xf numFmtId="49" fontId="11" fillId="22" borderId="56" xfId="0" applyNumberFormat="1" applyFont="1" applyFill="1" applyBorder="1" applyAlignment="1">
      <alignment horizontal="center" vertical="center" wrapText="1"/>
    </xf>
    <xf numFmtId="49" fontId="11" fillId="22" borderId="74" xfId="0" applyNumberFormat="1" applyFont="1" applyFill="1" applyBorder="1" applyAlignment="1">
      <alignment horizontal="center" vertical="center" wrapText="1"/>
    </xf>
    <xf numFmtId="49" fontId="11" fillId="22" borderId="75" xfId="0" applyNumberFormat="1" applyFont="1" applyFill="1" applyBorder="1" applyAlignment="1">
      <alignment horizontal="center" vertical="center" wrapText="1"/>
    </xf>
    <xf numFmtId="49" fontId="11" fillId="22" borderId="76" xfId="0" applyNumberFormat="1" applyFont="1" applyFill="1" applyBorder="1" applyAlignment="1">
      <alignment horizontal="center" vertical="center" wrapText="1"/>
    </xf>
    <xf numFmtId="49" fontId="11" fillId="22" borderId="77" xfId="0" applyNumberFormat="1" applyFont="1" applyFill="1" applyBorder="1" applyAlignment="1">
      <alignment horizontal="center" vertical="center" wrapText="1"/>
    </xf>
    <xf numFmtId="173" fontId="11" fillId="22" borderId="77" xfId="0" applyNumberFormat="1" applyFont="1" applyFill="1" applyBorder="1" applyAlignment="1">
      <alignment horizontal="center" vertical="center" wrapText="1"/>
    </xf>
    <xf numFmtId="0" fontId="12" fillId="19" borderId="48" xfId="0" applyFont="1" applyFill="1" applyBorder="1"/>
    <xf numFmtId="49" fontId="11" fillId="22" borderId="84" xfId="0" applyNumberFormat="1" applyFont="1" applyFill="1" applyBorder="1" applyAlignment="1">
      <alignment horizontal="center" vertical="center" wrapText="1"/>
    </xf>
    <xf numFmtId="165" fontId="11" fillId="22" borderId="77" xfId="1" applyFont="1" applyFill="1" applyBorder="1" applyAlignment="1">
      <alignment horizontal="center" vertical="center" wrapText="1"/>
    </xf>
    <xf numFmtId="49" fontId="11" fillId="22" borderId="50" xfId="0" applyNumberFormat="1" applyFont="1" applyFill="1" applyBorder="1" applyAlignment="1">
      <alignment horizontal="center" vertical="center" wrapText="1"/>
    </xf>
    <xf numFmtId="49" fontId="11" fillId="22" borderId="66" xfId="0" applyNumberFormat="1" applyFont="1" applyFill="1" applyBorder="1" applyAlignment="1">
      <alignment horizontal="center" vertical="center" wrapText="1"/>
    </xf>
    <xf numFmtId="173" fontId="11" fillId="22" borderId="66" xfId="0" applyNumberFormat="1" applyFont="1" applyFill="1" applyBorder="1" applyAlignment="1">
      <alignment horizontal="center" vertical="center" wrapText="1"/>
    </xf>
    <xf numFmtId="49" fontId="11" fillId="22" borderId="67" xfId="0" applyNumberFormat="1" applyFont="1" applyFill="1" applyBorder="1" applyAlignment="1">
      <alignment horizontal="center" vertical="center" wrapText="1"/>
    </xf>
    <xf numFmtId="173" fontId="5" fillId="20" borderId="0" xfId="0" applyNumberFormat="1" applyFont="1" applyFill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  <xf numFmtId="165" fontId="6" fillId="20" borderId="68" xfId="1" applyFont="1" applyFill="1" applyBorder="1" applyAlignment="1"/>
    <xf numFmtId="49" fontId="12" fillId="19" borderId="0" xfId="1" applyNumberFormat="1" applyFont="1" applyFill="1" applyBorder="1" applyAlignment="1">
      <alignment horizontal="center" vertical="center"/>
    </xf>
    <xf numFmtId="173" fontId="12" fillId="19" borderId="0" xfId="1" applyNumberFormat="1" applyFont="1" applyFill="1" applyAlignment="1">
      <alignment horizontal="center" vertical="center"/>
    </xf>
    <xf numFmtId="173" fontId="12" fillId="19" borderId="0" xfId="1" applyNumberFormat="1" applyFont="1" applyFill="1" applyBorder="1" applyAlignment="1">
      <alignment horizontal="center" vertical="center"/>
    </xf>
    <xf numFmtId="49" fontId="12" fillId="19" borderId="68" xfId="1" applyNumberFormat="1" applyFont="1" applyFill="1" applyBorder="1" applyAlignment="1">
      <alignment horizontal="center" vertical="center"/>
    </xf>
    <xf numFmtId="0" fontId="2" fillId="22" borderId="17" xfId="0" applyFont="1" applyFill="1" applyBorder="1" applyAlignment="1">
      <alignment horizontal="center" vertical="center"/>
    </xf>
    <xf numFmtId="49" fontId="2" fillId="22" borderId="18" xfId="0" applyNumberFormat="1" applyFont="1" applyFill="1" applyBorder="1" applyAlignment="1">
      <alignment horizontal="center" vertical="center"/>
    </xf>
    <xf numFmtId="49" fontId="2" fillId="22" borderId="49" xfId="0" applyNumberFormat="1" applyFont="1" applyFill="1" applyBorder="1" applyAlignment="1">
      <alignment horizontal="center" vertical="center"/>
    </xf>
    <xf numFmtId="173" fontId="2" fillId="22" borderId="49" xfId="0" applyNumberFormat="1" applyFont="1" applyFill="1" applyBorder="1" applyAlignment="1">
      <alignment horizontal="center" vertical="center" wrapText="1"/>
    </xf>
    <xf numFmtId="49" fontId="2" fillId="22" borderId="49" xfId="0" applyNumberFormat="1" applyFont="1" applyFill="1" applyBorder="1" applyAlignment="1">
      <alignment horizontal="center" vertical="center" wrapText="1"/>
    </xf>
    <xf numFmtId="49" fontId="11" fillId="22" borderId="49" xfId="0" applyNumberFormat="1" applyFont="1" applyFill="1" applyBorder="1" applyAlignment="1">
      <alignment horizontal="center" vertical="center" wrapText="1"/>
    </xf>
    <xf numFmtId="0" fontId="3" fillId="17" borderId="52" xfId="0" applyFont="1" applyFill="1" applyBorder="1" applyAlignment="1">
      <alignment horizontal="left" wrapText="1" readingOrder="1"/>
    </xf>
    <xf numFmtId="173" fontId="3" fillId="17" borderId="109" xfId="0" applyNumberFormat="1" applyFont="1" applyFill="1" applyBorder="1" applyAlignment="1">
      <alignment horizontal="left" wrapText="1" readingOrder="1"/>
    </xf>
    <xf numFmtId="44" fontId="3" fillId="17" borderId="109" xfId="0" applyNumberFormat="1" applyFont="1" applyFill="1" applyBorder="1" applyAlignment="1">
      <alignment horizontal="left" wrapText="1" readingOrder="1"/>
    </xf>
    <xf numFmtId="173" fontId="3" fillId="17" borderId="110" xfId="1" applyNumberFormat="1" applyFont="1" applyFill="1" applyBorder="1" applyAlignment="1">
      <alignment horizontal="right" wrapText="1" readingOrder="1"/>
    </xf>
    <xf numFmtId="173" fontId="3" fillId="17" borderId="110" xfId="0" applyNumberFormat="1" applyFont="1" applyFill="1" applyBorder="1" applyAlignment="1">
      <alignment horizontal="right" wrapText="1" readingOrder="1"/>
    </xf>
    <xf numFmtId="0" fontId="3" fillId="17" borderId="51" xfId="0" applyFont="1" applyFill="1" applyBorder="1" applyAlignment="1">
      <alignment horizontal="left" wrapText="1" readingOrder="1"/>
    </xf>
    <xf numFmtId="44" fontId="3" fillId="17" borderId="0" xfId="0" applyNumberFormat="1" applyFont="1" applyFill="1" applyAlignment="1">
      <alignment horizontal="left" wrapText="1" readingOrder="1"/>
    </xf>
    <xf numFmtId="173" fontId="3" fillId="17" borderId="0" xfId="0" applyNumberFormat="1" applyFont="1" applyFill="1" applyAlignment="1">
      <alignment horizontal="right" wrapText="1" readingOrder="1"/>
    </xf>
    <xf numFmtId="173" fontId="3" fillId="17" borderId="68" xfId="0" applyNumberFormat="1" applyFont="1" applyFill="1" applyBorder="1" applyAlignment="1">
      <alignment horizontal="right" wrapText="1" readingOrder="1"/>
    </xf>
    <xf numFmtId="173" fontId="3" fillId="17" borderId="110" xfId="0" applyNumberFormat="1" applyFont="1" applyFill="1" applyBorder="1" applyAlignment="1">
      <alignment horizontal="left" wrapText="1" readingOrder="1"/>
    </xf>
    <xf numFmtId="0" fontId="3" fillId="17" borderId="70" xfId="0" applyFont="1" applyFill="1" applyBorder="1" applyAlignment="1">
      <alignment horizontal="left" wrapText="1" readingOrder="1"/>
    </xf>
    <xf numFmtId="173" fontId="3" fillId="17" borderId="71" xfId="0" applyNumberFormat="1" applyFont="1" applyFill="1" applyBorder="1" applyAlignment="1">
      <alignment horizontal="left" wrapText="1" readingOrder="1"/>
    </xf>
    <xf numFmtId="44" fontId="3" fillId="17" borderId="71" xfId="0" applyNumberFormat="1" applyFont="1" applyFill="1" applyBorder="1" applyAlignment="1">
      <alignment horizontal="left" wrapText="1" readingOrder="1"/>
    </xf>
    <xf numFmtId="173" fontId="3" fillId="17" borderId="72" xfId="0" applyNumberFormat="1" applyFont="1" applyFill="1" applyBorder="1" applyAlignment="1">
      <alignment horizontal="right" wrapText="1" readingOrder="1"/>
    </xf>
    <xf numFmtId="44" fontId="3" fillId="17" borderId="110" xfId="0" applyNumberFormat="1" applyFont="1" applyFill="1" applyBorder="1" applyAlignment="1">
      <alignment horizontal="left" wrapText="1" readingOrder="1"/>
    </xf>
    <xf numFmtId="49" fontId="15" fillId="22" borderId="0" xfId="0" applyNumberFormat="1" applyFont="1" applyFill="1" applyAlignment="1">
      <alignment horizontal="center" vertical="center"/>
    </xf>
    <xf numFmtId="165" fontId="3" fillId="4" borderId="57" xfId="1" applyFont="1" applyFill="1" applyBorder="1"/>
    <xf numFmtId="171" fontId="3" fillId="4" borderId="31" xfId="1" applyNumberFormat="1" applyFont="1" applyFill="1" applyBorder="1"/>
    <xf numFmtId="171" fontId="3" fillId="4" borderId="29" xfId="1" applyNumberFormat="1" applyFont="1" applyFill="1" applyBorder="1"/>
    <xf numFmtId="171" fontId="3" fillId="15" borderId="0" xfId="1" applyNumberFormat="1" applyFont="1" applyFill="1" applyBorder="1"/>
    <xf numFmtId="173" fontId="13" fillId="23" borderId="32" xfId="0" applyNumberFormat="1" applyFont="1" applyFill="1" applyBorder="1"/>
    <xf numFmtId="173" fontId="2" fillId="16" borderId="0" xfId="0" applyNumberFormat="1" applyFont="1" applyFill="1" applyAlignment="1">
      <alignment horizontal="center"/>
    </xf>
    <xf numFmtId="173" fontId="3" fillId="17" borderId="66" xfId="0" applyNumberFormat="1" applyFont="1" applyFill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173" fontId="5" fillId="0" borderId="109" xfId="0" applyNumberFormat="1" applyFont="1" applyBorder="1" applyAlignment="1">
      <alignment horizontal="center"/>
    </xf>
    <xf numFmtId="173" fontId="2" fillId="22" borderId="129" xfId="0" applyNumberFormat="1" applyFont="1" applyFill="1" applyBorder="1" applyAlignment="1">
      <alignment horizontal="center" vertical="center"/>
    </xf>
    <xf numFmtId="173" fontId="6" fillId="0" borderId="0" xfId="4" applyNumberFormat="1" applyFont="1" applyFill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173" fontId="8" fillId="0" borderId="0" xfId="1" applyNumberFormat="1" applyFont="1" applyFill="1" applyBorder="1" applyAlignment="1">
      <alignment horizontal="center" vertical="center"/>
    </xf>
    <xf numFmtId="173" fontId="8" fillId="0" borderId="0" xfId="1" applyNumberFormat="1" applyFont="1" applyAlignment="1">
      <alignment horizontal="center" vertical="center"/>
    </xf>
    <xf numFmtId="0" fontId="12" fillId="25" borderId="32" xfId="0" applyFont="1" applyFill="1" applyBorder="1"/>
    <xf numFmtId="0" fontId="0" fillId="0" borderId="0" xfId="0" applyAlignment="1">
      <alignment wrapText="1"/>
    </xf>
    <xf numFmtId="173" fontId="13" fillId="26" borderId="32" xfId="0" applyNumberFormat="1" applyFont="1" applyFill="1" applyBorder="1"/>
    <xf numFmtId="173" fontId="13" fillId="27" borderId="32" xfId="0" applyNumberFormat="1" applyFont="1" applyFill="1" applyBorder="1"/>
    <xf numFmtId="0" fontId="23" fillId="0" borderId="0" xfId="14"/>
    <xf numFmtId="173" fontId="13" fillId="28" borderId="32" xfId="0" applyNumberFormat="1" applyFont="1" applyFill="1" applyBorder="1"/>
    <xf numFmtId="44" fontId="6" fillId="3" borderId="42" xfId="1" applyNumberFormat="1" applyFont="1" applyFill="1" applyBorder="1" applyAlignment="1">
      <alignment horizontal="center" vertical="center"/>
    </xf>
    <xf numFmtId="0" fontId="3" fillId="0" borderId="89" xfId="0" applyFont="1" applyBorder="1"/>
    <xf numFmtId="0" fontId="5" fillId="0" borderId="4" xfId="0" applyFont="1" applyBorder="1"/>
    <xf numFmtId="173" fontId="5" fillId="0" borderId="36" xfId="0" applyNumberFormat="1" applyFont="1" applyBorder="1"/>
    <xf numFmtId="173" fontId="5" fillId="0" borderId="90" xfId="0" applyNumberFormat="1" applyFont="1" applyBorder="1"/>
    <xf numFmtId="49" fontId="5" fillId="0" borderId="89" xfId="0" applyNumberFormat="1" applyFont="1" applyBorder="1"/>
    <xf numFmtId="44" fontId="5" fillId="0" borderId="130" xfId="0" applyNumberFormat="1" applyFont="1" applyBorder="1"/>
    <xf numFmtId="44" fontId="5" fillId="0" borderId="36" xfId="0" applyNumberFormat="1" applyFont="1" applyBorder="1"/>
    <xf numFmtId="175" fontId="5" fillId="0" borderId="131" xfId="2" applyNumberFormat="1" applyFont="1" applyFill="1" applyBorder="1" applyAlignment="1">
      <alignment horizontal="right"/>
    </xf>
    <xf numFmtId="173" fontId="5" fillId="24" borderId="15" xfId="0" applyNumberFormat="1" applyFont="1" applyFill="1" applyBorder="1" applyAlignment="1">
      <alignment horizontal="center" vertical="center"/>
    </xf>
    <xf numFmtId="173" fontId="8" fillId="24" borderId="15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5" fillId="0" borderId="0" xfId="0" applyFont="1" applyAlignment="1">
      <alignment wrapText="1"/>
    </xf>
    <xf numFmtId="173" fontId="5" fillId="20" borderId="0" xfId="0" applyNumberFormat="1" applyFont="1" applyFill="1"/>
    <xf numFmtId="173" fontId="5" fillId="0" borderId="117" xfId="0" applyNumberFormat="1" applyFont="1" applyBorder="1"/>
    <xf numFmtId="165" fontId="5" fillId="0" borderId="15" xfId="1" applyFont="1" applyFill="1" applyBorder="1" applyAlignment="1">
      <alignment horizontal="center" vertical="center"/>
    </xf>
    <xf numFmtId="165" fontId="6" fillId="0" borderId="36" xfId="1" applyFont="1" applyFill="1" applyBorder="1" applyAlignment="1">
      <alignment horizontal="center" vertical="center"/>
    </xf>
    <xf numFmtId="173" fontId="6" fillId="0" borderId="68" xfId="1" applyNumberFormat="1" applyFont="1" applyFill="1" applyBorder="1" applyAlignment="1"/>
    <xf numFmtId="0" fontId="15" fillId="22" borderId="0" xfId="0" applyFont="1" applyFill="1" applyAlignment="1">
      <alignment horizontal="center" vertical="center"/>
    </xf>
    <xf numFmtId="0" fontId="19" fillId="14" borderId="50" xfId="0" applyFont="1" applyFill="1" applyBorder="1" applyAlignment="1">
      <alignment horizontal="center"/>
    </xf>
    <xf numFmtId="0" fontId="19" fillId="14" borderId="66" xfId="0" applyFont="1" applyFill="1" applyBorder="1" applyAlignment="1">
      <alignment horizontal="center"/>
    </xf>
    <xf numFmtId="0" fontId="19" fillId="14" borderId="67" xfId="0" applyFont="1" applyFill="1" applyBorder="1" applyAlignment="1">
      <alignment horizontal="center"/>
    </xf>
    <xf numFmtId="173" fontId="13" fillId="0" borderId="32" xfId="0" applyNumberFormat="1" applyFont="1" applyFill="1" applyBorder="1"/>
    <xf numFmtId="173" fontId="5" fillId="0" borderId="1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3" fontId="8" fillId="0" borderId="15" xfId="0" applyNumberFormat="1" applyFont="1" applyFill="1" applyBorder="1" applyAlignment="1">
      <alignment horizontal="center" vertical="center"/>
    </xf>
    <xf numFmtId="0" fontId="12" fillId="0" borderId="61" xfId="0" applyFont="1" applyFill="1" applyBorder="1"/>
    <xf numFmtId="165" fontId="12" fillId="0" borderId="0" xfId="1" applyFont="1" applyFill="1" applyBorder="1"/>
    <xf numFmtId="165" fontId="12" fillId="0" borderId="132" xfId="1" applyFont="1" applyBorder="1"/>
    <xf numFmtId="0" fontId="5" fillId="0" borderId="51" xfId="0" applyFont="1" applyFill="1" applyBorder="1"/>
    <xf numFmtId="0" fontId="3" fillId="0" borderId="51" xfId="0" applyFont="1" applyFill="1" applyBorder="1"/>
    <xf numFmtId="173" fontId="5" fillId="0" borderId="0" xfId="0" applyNumberFormat="1" applyFont="1" applyFill="1" applyAlignment="1">
      <alignment horizontal="center" vertical="center"/>
    </xf>
  </cellXfs>
  <cellStyles count="15">
    <cellStyle name="Calculation" xfId="13" builtinId="22"/>
    <cellStyle name="Comma 2" xfId="12" xr:uid="{00000000-0005-0000-0000-000001000000}"/>
    <cellStyle name="Comma 3" xfId="8" xr:uid="{00000000-0005-0000-0000-000002000000}"/>
    <cellStyle name="Currency" xfId="1" builtinId="4"/>
    <cellStyle name="Currency [0]" xfId="2" builtinId="7"/>
    <cellStyle name="Currency 2" xfId="10" xr:uid="{00000000-0005-0000-0000-000005000000}"/>
    <cellStyle name="Currency 3" xfId="6" xr:uid="{00000000-0005-0000-0000-000006000000}"/>
    <cellStyle name="Hyperlink" xfId="14" builtinId="8"/>
    <cellStyle name="Normal" xfId="0" builtinId="0"/>
    <cellStyle name="Normal 2" xfId="9" xr:uid="{00000000-0005-0000-0000-000008000000}"/>
    <cellStyle name="Normal 3" xfId="11" xr:uid="{00000000-0005-0000-0000-000009000000}"/>
    <cellStyle name="Normal 4" xfId="4" xr:uid="{00000000-0005-0000-0000-00000A000000}"/>
    <cellStyle name="Normal 5" xfId="5" xr:uid="{00000000-0005-0000-0000-00000B000000}"/>
    <cellStyle name="rf5" xfId="7" xr:uid="{00000000-0005-0000-0000-00000C000000}"/>
    <cellStyle name="rf8" xfId="3" xr:uid="{00000000-0005-0000-0000-00000D000000}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FFFF69"/>
        </patternFill>
      </fill>
    </dxf>
    <dxf>
      <fill>
        <patternFill>
          <bgColor rgb="FFF64440"/>
        </patternFill>
      </fill>
    </dxf>
    <dxf>
      <fill>
        <patternFill>
          <bgColor rgb="FF8CFB79"/>
        </patternFill>
      </fill>
    </dxf>
    <dxf>
      <font>
        <color auto="1"/>
      </font>
      <fill>
        <patternFill>
          <bgColor rgb="FFFFFF69"/>
        </patternFill>
      </fill>
    </dxf>
    <dxf>
      <fill>
        <patternFill>
          <bgColor rgb="FFF64440"/>
        </patternFill>
      </fill>
    </dxf>
    <dxf>
      <fill>
        <patternFill>
          <bgColor rgb="FF8CFB79"/>
        </patternFill>
      </fill>
    </dxf>
    <dxf>
      <font>
        <color auto="1"/>
      </font>
      <fill>
        <patternFill>
          <bgColor rgb="FFFFFF69"/>
        </patternFill>
      </fill>
    </dxf>
    <dxf>
      <fill>
        <patternFill>
          <bgColor rgb="FFF64440"/>
        </patternFill>
      </fill>
    </dxf>
    <dxf>
      <fill>
        <patternFill>
          <bgColor rgb="FF8CFB79"/>
        </patternFill>
      </fill>
    </dxf>
    <dxf>
      <font>
        <color auto="1"/>
      </font>
      <fill>
        <patternFill>
          <bgColor rgb="FFFFFF69"/>
        </patternFill>
      </fill>
    </dxf>
    <dxf>
      <fill>
        <patternFill>
          <bgColor rgb="FFF64440"/>
        </patternFill>
      </fill>
    </dxf>
    <dxf>
      <fill>
        <patternFill>
          <bgColor rgb="FF8CFB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atalogue.data.gov.bc.ca/dataset/2c75c627-3eb6-41ee-bb54-7b089eade484/resource/f968b670-09c1-4f2d-b5e9-62863844f0d9/download/cpi_monthly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7"/>
  <sheetViews>
    <sheetView zoomScale="110" zoomScaleNormal="110" workbookViewId="0">
      <pane xSplit="1" ySplit="1" topLeftCell="B2" activePane="bottomRight" state="frozen"/>
      <selection pane="bottomRight" activeCell="O62" sqref="O62"/>
      <selection pane="bottomLeft" activeCell="A2" sqref="A2"/>
      <selection pane="topRight" activeCell="B1" sqref="B1"/>
    </sheetView>
  </sheetViews>
  <sheetFormatPr defaultColWidth="10.85546875" defaultRowHeight="15" customHeight="1"/>
  <cols>
    <col min="1" max="1" width="35.42578125" style="1" customWidth="1"/>
    <col min="2" max="2" width="28.42578125" style="1" customWidth="1"/>
    <col min="3" max="4" width="28" style="1" customWidth="1"/>
    <col min="5" max="5" width="28.28515625" style="1" customWidth="1"/>
    <col min="6" max="6" width="22.140625" style="1" bestFit="1" customWidth="1"/>
    <col min="7" max="7" width="18.85546875" style="1" bestFit="1" customWidth="1"/>
    <col min="8" max="8" width="25" style="1" bestFit="1" customWidth="1"/>
    <col min="9" max="9" width="21" style="1" bestFit="1" customWidth="1"/>
    <col min="10" max="10" width="24.7109375" style="1" bestFit="1" customWidth="1"/>
    <col min="11" max="11" width="10.85546875" style="1"/>
    <col min="12" max="12" width="32.42578125" style="1" bestFit="1" customWidth="1"/>
    <col min="13" max="13" width="32.42578125" style="1" customWidth="1"/>
    <col min="14" max="14" width="25.42578125" style="1" customWidth="1"/>
    <col min="15" max="15" width="22.140625" style="1" bestFit="1" customWidth="1"/>
    <col min="16" max="16" width="22.140625" style="1" customWidth="1"/>
    <col min="17" max="17" width="19.85546875" style="599" bestFit="1" customWidth="1"/>
    <col min="18" max="18" width="25" style="1" bestFit="1" customWidth="1"/>
    <col min="19" max="19" width="21" style="1" bestFit="1" customWidth="1"/>
    <col min="20" max="20" width="18.85546875" style="1" bestFit="1" customWidth="1"/>
    <col min="21" max="21" width="28.42578125" style="1" customWidth="1"/>
    <col min="22" max="23" width="18.85546875" style="1" customWidth="1"/>
    <col min="24" max="24" width="18.85546875" style="1" hidden="1" customWidth="1"/>
    <col min="25" max="26" width="18.85546875" style="1" customWidth="1"/>
    <col min="27" max="27" width="12.140625" style="1" hidden="1" customWidth="1"/>
    <col min="28" max="28" width="15.42578125" style="1" customWidth="1"/>
    <col min="29" max="16384" width="10.85546875" style="1"/>
  </cols>
  <sheetData>
    <row r="1" spans="1:22" ht="24.75" customHeight="1" thickBot="1">
      <c r="A1" s="788" t="s">
        <v>0</v>
      </c>
      <c r="B1" s="788"/>
      <c r="C1" s="788"/>
      <c r="D1" s="788"/>
      <c r="E1" s="788"/>
      <c r="F1" s="788"/>
      <c r="G1" s="788"/>
      <c r="H1" s="788"/>
      <c r="I1" s="788"/>
      <c r="J1" s="788"/>
      <c r="L1" s="693" t="s">
        <v>1</v>
      </c>
      <c r="M1" s="694"/>
      <c r="N1" s="694"/>
      <c r="O1" s="694"/>
      <c r="P1" s="694"/>
      <c r="Q1" s="694"/>
      <c r="R1" s="695"/>
      <c r="S1" s="694"/>
      <c r="T1" s="694"/>
      <c r="U1" s="694"/>
    </row>
    <row r="2" spans="1:22" ht="21.75" customHeight="1" thickBot="1">
      <c r="A2" s="696" t="s">
        <v>2</v>
      </c>
      <c r="B2" s="749" t="s">
        <v>3</v>
      </c>
      <c r="C2" s="697" t="s">
        <v>4</v>
      </c>
      <c r="D2" s="697" t="s">
        <v>5</v>
      </c>
      <c r="E2" s="698" t="s">
        <v>6</v>
      </c>
      <c r="F2" s="699" t="s">
        <v>7</v>
      </c>
      <c r="G2" s="699" t="s">
        <v>8</v>
      </c>
      <c r="H2" s="699" t="s">
        <v>9</v>
      </c>
      <c r="I2" s="699" t="s">
        <v>10</v>
      </c>
      <c r="J2" s="699" t="s">
        <v>11</v>
      </c>
      <c r="L2" s="696" t="s">
        <v>2</v>
      </c>
      <c r="M2" s="749" t="s">
        <v>3</v>
      </c>
      <c r="N2" s="749" t="s">
        <v>4</v>
      </c>
      <c r="O2" s="697" t="s">
        <v>12</v>
      </c>
      <c r="P2" s="699" t="s">
        <v>7</v>
      </c>
      <c r="Q2" s="699" t="s">
        <v>13</v>
      </c>
      <c r="R2" s="700" t="s">
        <v>8</v>
      </c>
      <c r="S2" s="699" t="s">
        <v>9</v>
      </c>
      <c r="T2" s="699" t="s">
        <v>10</v>
      </c>
      <c r="U2" s="699" t="s">
        <v>14</v>
      </c>
    </row>
    <row r="3" spans="1:22">
      <c r="A3" s="190" t="s">
        <v>15</v>
      </c>
      <c r="B3" s="191"/>
      <c r="C3" s="191"/>
      <c r="D3" s="191"/>
      <c r="E3" s="191"/>
      <c r="F3" s="191"/>
      <c r="G3" s="191"/>
      <c r="H3" s="191"/>
      <c r="I3" s="191"/>
      <c r="J3" s="192"/>
      <c r="L3" s="171" t="s">
        <v>16</v>
      </c>
      <c r="M3" s="172"/>
      <c r="N3" s="750"/>
      <c r="O3" s="172"/>
      <c r="P3" s="172"/>
      <c r="Q3" s="191"/>
      <c r="R3" s="595"/>
      <c r="S3" s="172"/>
      <c r="T3" s="172"/>
      <c r="U3" s="173"/>
    </row>
    <row r="4" spans="1:22">
      <c r="A4" s="193" t="s">
        <v>17</v>
      </c>
      <c r="B4" s="186">
        <f>'Student Fees'!C4</f>
        <v>2859374.2604999999</v>
      </c>
      <c r="C4" s="186">
        <v>2785557</v>
      </c>
      <c r="D4" s="186">
        <f>'Student Fees'!E4</f>
        <v>2785557</v>
      </c>
      <c r="E4" s="186">
        <v>2710971.73</v>
      </c>
      <c r="F4" s="186">
        <f>'Student Fees'!E4</f>
        <v>2785557</v>
      </c>
      <c r="G4" s="186">
        <v>2676765</v>
      </c>
      <c r="H4" s="186">
        <f>'Student Fees'!G4</f>
        <v>2676765</v>
      </c>
      <c r="I4" s="30">
        <v>2495500</v>
      </c>
      <c r="J4" s="194">
        <v>2481050</v>
      </c>
      <c r="L4" s="174" t="s">
        <v>18</v>
      </c>
      <c r="M4" s="230">
        <f>Executives!C191</f>
        <v>133517.68</v>
      </c>
      <c r="N4" s="230">
        <v>152553</v>
      </c>
      <c r="O4" s="230">
        <f>Executives!E191</f>
        <v>129137.19</v>
      </c>
      <c r="P4" s="230">
        <f>Executives!F191</f>
        <v>116182.44755</v>
      </c>
      <c r="Q4" s="108">
        <f>85129+33533</f>
        <v>118662</v>
      </c>
      <c r="R4" s="145">
        <v>111448</v>
      </c>
      <c r="S4" s="230">
        <f>Executives!G191</f>
        <v>105923.64</v>
      </c>
      <c r="T4" s="145">
        <v>202951</v>
      </c>
      <c r="U4" s="231">
        <v>160339.82399999999</v>
      </c>
    </row>
    <row r="5" spans="1:22">
      <c r="A5" s="701" t="s">
        <v>19</v>
      </c>
      <c r="B5" s="186">
        <f>'Student Fees'!C5</f>
        <v>554035.92449999996</v>
      </c>
      <c r="C5" s="186">
        <v>539733</v>
      </c>
      <c r="D5" s="186">
        <f>'Student Fees'!E5</f>
        <v>539733</v>
      </c>
      <c r="E5" s="186">
        <v>524240.38</v>
      </c>
      <c r="F5" s="186">
        <f>'Student Fees'!E5</f>
        <v>539733</v>
      </c>
      <c r="G5" s="186">
        <v>518370</v>
      </c>
      <c r="H5" s="186">
        <f>'Student Fees'!G5</f>
        <v>518370</v>
      </c>
      <c r="I5" s="30">
        <v>483866</v>
      </c>
      <c r="J5" s="194">
        <v>480700</v>
      </c>
      <c r="L5" s="174" t="s">
        <v>20</v>
      </c>
      <c r="M5" s="230">
        <f>Executives!C192</f>
        <v>134000.47</v>
      </c>
      <c r="N5" s="230">
        <v>116201</v>
      </c>
      <c r="O5" s="230">
        <f>Executives!E192</f>
        <v>117722</v>
      </c>
      <c r="P5" s="230">
        <f>Executives!F192</f>
        <v>110177.83755</v>
      </c>
      <c r="Q5" s="108">
        <v>134218</v>
      </c>
      <c r="R5" s="145">
        <v>142588</v>
      </c>
      <c r="S5" s="230">
        <f>Executives!G192</f>
        <v>124973.64</v>
      </c>
      <c r="T5" s="145">
        <v>142693</v>
      </c>
      <c r="U5" s="231">
        <v>128300.77399999999</v>
      </c>
    </row>
    <row r="6" spans="1:22">
      <c r="A6" s="701" t="s">
        <v>21</v>
      </c>
      <c r="B6" s="186">
        <f>'Student Fees'!C6</f>
        <v>117210.90249999998</v>
      </c>
      <c r="C6" s="186">
        <v>114184.99999999999</v>
      </c>
      <c r="D6" s="186">
        <f>'Student Fees'!E6</f>
        <v>114184.99999999999</v>
      </c>
      <c r="E6" s="186">
        <v>100322.69</v>
      </c>
      <c r="F6" s="186">
        <f>'Student Fees'!E6</f>
        <v>114184.99999999999</v>
      </c>
      <c r="G6" s="186">
        <v>109890</v>
      </c>
      <c r="H6" s="186">
        <v>109890</v>
      </c>
      <c r="I6" s="30">
        <v>101742</v>
      </c>
      <c r="J6" s="194">
        <v>101750</v>
      </c>
      <c r="L6" s="174" t="s">
        <v>22</v>
      </c>
      <c r="M6" s="230">
        <f>Executives!C193</f>
        <v>200235.41</v>
      </c>
      <c r="N6" s="230">
        <v>198711</v>
      </c>
      <c r="O6" s="230">
        <f>Executives!E193</f>
        <v>184151.81</v>
      </c>
      <c r="P6" s="230">
        <f>Executives!F193</f>
        <v>183270.06199999998</v>
      </c>
      <c r="Q6" s="108">
        <v>214543</v>
      </c>
      <c r="R6" s="145">
        <v>224849</v>
      </c>
      <c r="S6" s="230">
        <f>Executives!G193</f>
        <v>207121.14</v>
      </c>
      <c r="T6" s="145">
        <v>249085</v>
      </c>
      <c r="U6" s="231">
        <v>228889.62399999998</v>
      </c>
    </row>
    <row r="7" spans="1:22">
      <c r="A7" s="701" t="s">
        <v>23</v>
      </c>
      <c r="B7" s="186">
        <f>'Student Fees'!C7</f>
        <v>379648.97199999995</v>
      </c>
      <c r="C7" s="186">
        <v>369848</v>
      </c>
      <c r="D7" s="186">
        <f>'Student Fees'!E7</f>
        <v>369848</v>
      </c>
      <c r="E7" s="186">
        <v>359314.05</v>
      </c>
      <c r="F7" s="186">
        <f>'Student Fees'!E7</f>
        <v>369848</v>
      </c>
      <c r="G7" s="186">
        <v>355200</v>
      </c>
      <c r="H7" s="186">
        <v>355200</v>
      </c>
      <c r="I7" s="30">
        <v>331867</v>
      </c>
      <c r="J7" s="194">
        <v>329450</v>
      </c>
      <c r="L7" s="174" t="s">
        <v>24</v>
      </c>
      <c r="M7" s="230">
        <f>Executives!C194</f>
        <v>102495.01000000001</v>
      </c>
      <c r="N7" s="230">
        <v>103142</v>
      </c>
      <c r="O7" s="230">
        <f>Executives!E194</f>
        <v>106517.55</v>
      </c>
      <c r="P7" s="230">
        <f>Executives!F194</f>
        <v>102243.25754999999</v>
      </c>
      <c r="Q7" s="108">
        <f>111460-13710</f>
        <v>97750</v>
      </c>
      <c r="R7" s="145">
        <v>122633</v>
      </c>
      <c r="S7" s="230">
        <f>Executives!G194</f>
        <v>121269.97</v>
      </c>
      <c r="T7" s="145">
        <f>119378+7714</f>
        <v>127092</v>
      </c>
      <c r="U7" s="231">
        <v>115288.27499999999</v>
      </c>
    </row>
    <row r="8" spans="1:22">
      <c r="A8" s="701" t="s">
        <v>25</v>
      </c>
      <c r="B8" s="186">
        <f>'Student Fees'!C8</f>
        <v>1013731.3665</v>
      </c>
      <c r="C8" s="186">
        <v>987561</v>
      </c>
      <c r="D8" s="186">
        <f>'Student Fees'!E8</f>
        <v>987561</v>
      </c>
      <c r="E8" s="186">
        <v>960137.97</v>
      </c>
      <c r="F8" s="186">
        <f>'Student Fees'!E8</f>
        <v>987561</v>
      </c>
      <c r="G8" s="186">
        <v>949050</v>
      </c>
      <c r="H8" s="186">
        <v>949050</v>
      </c>
      <c r="I8" s="30">
        <v>884300</v>
      </c>
      <c r="J8" s="194">
        <v>880000</v>
      </c>
      <c r="L8" s="174" t="s">
        <v>26</v>
      </c>
      <c r="M8" s="230">
        <f>Executives!C195</f>
        <v>137985.43</v>
      </c>
      <c r="N8" s="230">
        <v>129337</v>
      </c>
      <c r="O8" s="230">
        <f>Executives!E195</f>
        <v>131745.22</v>
      </c>
      <c r="P8" s="230">
        <f>Executives!F195</f>
        <v>129883.30755</v>
      </c>
      <c r="Q8" s="108">
        <v>140420</v>
      </c>
      <c r="R8" s="145">
        <v>145090</v>
      </c>
      <c r="S8" s="230">
        <f>Executives!G195</f>
        <v>131308.57999999999</v>
      </c>
      <c r="T8" s="145">
        <v>139760</v>
      </c>
      <c r="U8" s="231">
        <v>124218.82399999999</v>
      </c>
    </row>
    <row r="9" spans="1:22" ht="15.95" thickBot="1">
      <c r="A9" s="701" t="s">
        <v>27</v>
      </c>
      <c r="B9" s="186">
        <f>'Student Fees'!C9</f>
        <v>388225.37949999998</v>
      </c>
      <c r="C9" s="186"/>
      <c r="D9" s="186"/>
      <c r="E9" s="186">
        <v>327945.03000000003</v>
      </c>
      <c r="F9" s="186">
        <f>'Student Fees'!E9</f>
        <v>378203</v>
      </c>
      <c r="G9" s="186">
        <v>363525</v>
      </c>
      <c r="H9" s="186">
        <v>363525</v>
      </c>
      <c r="I9" s="30">
        <v>339588</v>
      </c>
      <c r="J9" s="194">
        <v>337150</v>
      </c>
      <c r="L9" s="775" t="s">
        <v>28</v>
      </c>
      <c r="M9" s="776">
        <f>Executives!C196</f>
        <v>96865.61</v>
      </c>
      <c r="N9" s="776"/>
      <c r="O9" s="776"/>
      <c r="P9" s="776"/>
      <c r="Q9" s="108"/>
      <c r="R9" s="776"/>
      <c r="S9" s="777"/>
      <c r="T9" s="776"/>
      <c r="U9" s="778"/>
      <c r="V9" s="30"/>
    </row>
    <row r="10" spans="1:22">
      <c r="A10" s="701" t="s">
        <v>29</v>
      </c>
      <c r="B10" s="186">
        <f>'Student Fees'!C10</f>
        <v>74900.625500000009</v>
      </c>
      <c r="C10" s="186">
        <v>72967</v>
      </c>
      <c r="D10" s="186">
        <f>'Student Fees'!E10</f>
        <v>72967</v>
      </c>
      <c r="E10" s="186">
        <v>70741.23</v>
      </c>
      <c r="F10" s="186">
        <f>'Student Fees'!E10</f>
        <v>72967</v>
      </c>
      <c r="G10" s="186">
        <v>69930</v>
      </c>
      <c r="H10" s="186">
        <v>69930</v>
      </c>
      <c r="I10" s="30">
        <v>65377</v>
      </c>
      <c r="J10" s="194">
        <v>64900</v>
      </c>
      <c r="L10" s="175" t="s">
        <v>30</v>
      </c>
      <c r="M10" s="597">
        <f>SUM(M4:M9)</f>
        <v>805099.61</v>
      </c>
      <c r="N10" s="597">
        <f t="shared" ref="N10:U10" si="0">SUM(N4:N8)</f>
        <v>699944</v>
      </c>
      <c r="O10" s="597">
        <f t="shared" si="0"/>
        <v>669273.77</v>
      </c>
      <c r="P10" s="597">
        <f t="shared" si="0"/>
        <v>641756.9121999999</v>
      </c>
      <c r="Q10" s="682">
        <f t="shared" si="0"/>
        <v>705593</v>
      </c>
      <c r="R10" s="597">
        <f t="shared" si="0"/>
        <v>746608</v>
      </c>
      <c r="S10" s="146">
        <f t="shared" si="0"/>
        <v>690596.97</v>
      </c>
      <c r="T10" s="152">
        <f t="shared" si="0"/>
        <v>861581</v>
      </c>
      <c r="U10" s="176">
        <f t="shared" si="0"/>
        <v>757037.321</v>
      </c>
    </row>
    <row r="11" spans="1:22">
      <c r="A11" s="701" t="s">
        <v>31</v>
      </c>
      <c r="B11" s="186">
        <f>'Student Fees'!C11</f>
        <v>94912.242999999988</v>
      </c>
      <c r="C11" s="186">
        <v>92462</v>
      </c>
      <c r="D11" s="186">
        <f>'Student Fees'!E11</f>
        <v>92462</v>
      </c>
      <c r="E11" s="186">
        <v>89811.26</v>
      </c>
      <c r="F11" s="186">
        <f>'Student Fees'!E11</f>
        <v>92462</v>
      </c>
      <c r="G11" s="186">
        <v>88800</v>
      </c>
      <c r="H11" s="186">
        <v>88800</v>
      </c>
      <c r="I11" s="30">
        <v>83563</v>
      </c>
      <c r="J11" s="194">
        <v>82500</v>
      </c>
      <c r="L11" s="177" t="s">
        <v>32</v>
      </c>
      <c r="M11" s="751"/>
      <c r="N11" s="751"/>
      <c r="O11" s="614"/>
      <c r="P11" s="614"/>
      <c r="Q11" s="614"/>
      <c r="R11" s="614"/>
      <c r="S11" s="76"/>
      <c r="T11" s="144"/>
      <c r="U11" s="178"/>
    </row>
    <row r="12" spans="1:22">
      <c r="A12" s="701" t="s">
        <v>33</v>
      </c>
      <c r="B12" s="186">
        <f>'Student Fees'!C12</f>
        <v>19439.857</v>
      </c>
      <c r="C12" s="186">
        <v>18938</v>
      </c>
      <c r="D12" s="186">
        <f>'Student Fees'!E12</f>
        <v>18938</v>
      </c>
      <c r="E12" s="186">
        <v>18532.97</v>
      </c>
      <c r="F12" s="186">
        <f>'Student Fees'!E12</f>
        <v>18938</v>
      </c>
      <c r="G12" s="186">
        <v>18315</v>
      </c>
      <c r="H12" s="186">
        <v>18315</v>
      </c>
      <c r="I12" s="30">
        <v>17176</v>
      </c>
      <c r="J12" s="194">
        <v>17050</v>
      </c>
      <c r="L12" s="229" t="s">
        <v>34</v>
      </c>
      <c r="M12" s="148">
        <f>'Student Council'!C145</f>
        <v>113751.14</v>
      </c>
      <c r="N12" s="148">
        <v>144472</v>
      </c>
      <c r="O12" s="148">
        <f>'Student Council'!E145</f>
        <v>114020.55</v>
      </c>
      <c r="P12" s="148">
        <f>'Student Council'!F145</f>
        <v>102057.75</v>
      </c>
      <c r="Q12" s="108">
        <v>119655</v>
      </c>
      <c r="R12" s="148">
        <f>95645+373+10854.17</f>
        <v>106872.17</v>
      </c>
      <c r="S12" s="702">
        <f>'Student Council'!G145</f>
        <v>110490</v>
      </c>
      <c r="T12" s="153">
        <v>147549</v>
      </c>
      <c r="U12" s="179">
        <v>143480</v>
      </c>
    </row>
    <row r="13" spans="1:22">
      <c r="A13" s="701" t="s">
        <v>35</v>
      </c>
      <c r="B13" s="186">
        <f>'Student Fees'!C13</f>
        <v>47456.121499999994</v>
      </c>
      <c r="C13" s="186">
        <v>46231</v>
      </c>
      <c r="D13" s="186">
        <f>'Student Fees'!E13</f>
        <v>46231</v>
      </c>
      <c r="E13" s="186">
        <v>44903.43</v>
      </c>
      <c r="F13" s="186">
        <f>'Student Fees'!E13</f>
        <v>46231</v>
      </c>
      <c r="G13" s="186">
        <v>44400</v>
      </c>
      <c r="H13" s="186">
        <v>44400</v>
      </c>
      <c r="I13" s="30">
        <v>41951</v>
      </c>
      <c r="J13" s="194">
        <v>41250</v>
      </c>
      <c r="L13" s="229" t="s">
        <v>36</v>
      </c>
      <c r="M13" s="148">
        <f>'Student Council'!C146</f>
        <v>52005.429999999993</v>
      </c>
      <c r="N13" s="148">
        <v>20375.75</v>
      </c>
      <c r="O13" s="148">
        <f>'Student Council'!E146</f>
        <v>20375.75</v>
      </c>
      <c r="P13" s="148">
        <f>'Student Council'!F146</f>
        <v>12500</v>
      </c>
      <c r="Q13" s="108">
        <f>41480-33533</f>
        <v>7947</v>
      </c>
      <c r="R13" s="148">
        <v>29945</v>
      </c>
      <c r="S13" s="703">
        <f>'Student Council'!G146</f>
        <v>33575.75</v>
      </c>
      <c r="T13" s="153">
        <v>43431</v>
      </c>
      <c r="U13" s="179">
        <v>61626.25</v>
      </c>
    </row>
    <row r="14" spans="1:22">
      <c r="A14" s="701" t="s">
        <v>37</v>
      </c>
      <c r="B14" s="186">
        <f>'Student Fees'!C14</f>
        <v>247000.53599999999</v>
      </c>
      <c r="C14" s="186">
        <v>240624.00000000003</v>
      </c>
      <c r="D14" s="186">
        <f>'Student Fees'!E14</f>
        <v>240624.00000000003</v>
      </c>
      <c r="E14" s="186">
        <v>203053.78</v>
      </c>
      <c r="F14" s="186">
        <f>'Student Fees'!E14</f>
        <v>240624.00000000003</v>
      </c>
      <c r="G14" s="186">
        <v>231435</v>
      </c>
      <c r="H14" s="186">
        <v>231435</v>
      </c>
      <c r="I14" s="30">
        <v>63853</v>
      </c>
      <c r="J14" s="194">
        <v>64349.999999999993</v>
      </c>
      <c r="L14" s="613" t="s">
        <v>29</v>
      </c>
      <c r="M14" s="148">
        <f>'Student Council'!C147</f>
        <v>25302.94</v>
      </c>
      <c r="N14" s="148">
        <v>-735</v>
      </c>
      <c r="O14" s="148">
        <f>'Student Council'!E147</f>
        <v>-735</v>
      </c>
      <c r="P14" s="148">
        <f>'Student Council'!F147</f>
        <v>-735</v>
      </c>
      <c r="Q14" s="686">
        <v>33478</v>
      </c>
      <c r="R14" s="148">
        <v>33441</v>
      </c>
      <c r="S14" s="703">
        <f>'Student Council'!G147</f>
        <v>32265</v>
      </c>
      <c r="T14" s="153">
        <v>28575</v>
      </c>
      <c r="U14" s="180">
        <v>51140</v>
      </c>
    </row>
    <row r="15" spans="1:22" ht="15.95" thickBot="1">
      <c r="A15" s="701" t="s">
        <v>38</v>
      </c>
      <c r="B15" s="186">
        <f>'Student Fees'!C15</f>
        <v>55700</v>
      </c>
      <c r="C15" s="186">
        <v>55700</v>
      </c>
      <c r="D15" s="186">
        <f>'Student Fees'!E15</f>
        <v>55700</v>
      </c>
      <c r="E15" s="186">
        <v>56680.67</v>
      </c>
      <c r="F15" s="186">
        <f>'Student Fees'!E15</f>
        <v>55700</v>
      </c>
      <c r="G15" s="186">
        <v>55500</v>
      </c>
      <c r="H15" s="186">
        <v>55500</v>
      </c>
      <c r="I15" s="30">
        <v>55874</v>
      </c>
      <c r="J15" s="194">
        <v>55000</v>
      </c>
      <c r="L15" s="613" t="s">
        <v>39</v>
      </c>
      <c r="M15" s="148">
        <f>'Student Council'!C148</f>
        <v>73611.16399999999</v>
      </c>
      <c r="N15" s="148">
        <v>62003.63</v>
      </c>
      <c r="O15" s="148">
        <f>'Student Council'!E148</f>
        <v>62003.630000000005</v>
      </c>
      <c r="P15" s="148">
        <f>'Student Council'!F148</f>
        <v>58414.43</v>
      </c>
      <c r="Q15" s="686">
        <v>86873</v>
      </c>
      <c r="R15" s="148">
        <v>84391</v>
      </c>
      <c r="S15" s="703">
        <f>'Student Council'!G148</f>
        <v>89402.78</v>
      </c>
      <c r="T15" s="153">
        <v>84558</v>
      </c>
      <c r="U15" s="180">
        <v>63478.96</v>
      </c>
    </row>
    <row r="16" spans="1:22">
      <c r="A16" s="701" t="s">
        <v>40</v>
      </c>
      <c r="B16" s="186">
        <f>'Student Fees'!C16</f>
        <v>668400</v>
      </c>
      <c r="C16" s="186">
        <v>668400</v>
      </c>
      <c r="D16" s="186">
        <f>'Student Fees'!E16</f>
        <v>668400</v>
      </c>
      <c r="E16" s="186">
        <v>662130.24</v>
      </c>
      <c r="F16" s="186">
        <f>'Student Fees'!E16</f>
        <v>668400</v>
      </c>
      <c r="G16" s="186">
        <v>666000</v>
      </c>
      <c r="H16" s="186">
        <v>666000</v>
      </c>
      <c r="I16" s="30">
        <v>653988</v>
      </c>
      <c r="J16" s="194">
        <v>660000</v>
      </c>
      <c r="L16" s="175" t="s">
        <v>41</v>
      </c>
      <c r="M16" s="600">
        <f t="shared" ref="M16" si="1">SUM(M12:M15)</f>
        <v>264670.674</v>
      </c>
      <c r="N16" s="600">
        <f t="shared" ref="N16:U16" si="2">SUM(N12:N15)</f>
        <v>226116.38</v>
      </c>
      <c r="O16" s="600">
        <f t="shared" si="2"/>
        <v>195664.93</v>
      </c>
      <c r="P16" s="600">
        <f t="shared" si="2"/>
        <v>172237.18</v>
      </c>
      <c r="Q16" s="600">
        <f t="shared" si="2"/>
        <v>247953</v>
      </c>
      <c r="R16" s="600">
        <f t="shared" si="2"/>
        <v>254649.16999999998</v>
      </c>
      <c r="S16" s="128">
        <f t="shared" si="2"/>
        <v>265733.53000000003</v>
      </c>
      <c r="T16" s="154">
        <f t="shared" si="2"/>
        <v>304113</v>
      </c>
      <c r="U16" s="181">
        <f t="shared" si="2"/>
        <v>319725.21000000002</v>
      </c>
    </row>
    <row r="17" spans="1:24">
      <c r="A17" s="701" t="s">
        <v>42</v>
      </c>
      <c r="B17" s="186">
        <f>'Student Fees'!C17</f>
        <v>1169700</v>
      </c>
      <c r="C17" s="186">
        <v>1169700</v>
      </c>
      <c r="D17" s="186">
        <f>'Student Fees'!E17</f>
        <v>1169700</v>
      </c>
      <c r="E17" s="186">
        <v>1179721.8400000001</v>
      </c>
      <c r="F17" s="186">
        <f>'Student Fees'!E17</f>
        <v>1169700</v>
      </c>
      <c r="G17" s="186">
        <v>1165500</v>
      </c>
      <c r="H17" s="186">
        <v>1165500</v>
      </c>
      <c r="I17" s="30">
        <v>1163840</v>
      </c>
      <c r="J17" s="194">
        <v>1155000</v>
      </c>
      <c r="L17" s="177" t="s">
        <v>43</v>
      </c>
      <c r="M17" s="752"/>
      <c r="N17" s="752"/>
      <c r="O17" s="76"/>
      <c r="P17" s="76"/>
      <c r="Q17" s="598"/>
      <c r="R17" s="598"/>
      <c r="S17" s="76"/>
      <c r="T17" s="144"/>
      <c r="U17" s="178"/>
    </row>
    <row r="18" spans="1:24">
      <c r="A18" s="701" t="s">
        <v>44</v>
      </c>
      <c r="B18" s="186">
        <f>'Student Fees'!C18</f>
        <v>197829.133</v>
      </c>
      <c r="C18" s="186">
        <v>192722</v>
      </c>
      <c r="D18" s="186">
        <f>'Student Fees'!E18</f>
        <v>192722</v>
      </c>
      <c r="E18" s="186">
        <v>161383.44</v>
      </c>
      <c r="F18" s="186">
        <f>'Student Fees'!E18</f>
        <v>192722</v>
      </c>
      <c r="G18" s="186">
        <v>172050</v>
      </c>
      <c r="H18" s="186">
        <v>172050</v>
      </c>
      <c r="I18" s="30">
        <v>164807</v>
      </c>
      <c r="J18" s="194">
        <v>165000</v>
      </c>
      <c r="L18" s="174" t="s">
        <v>45</v>
      </c>
      <c r="M18" s="596">
        <f>'Student Services'!C285</f>
        <v>244244</v>
      </c>
      <c r="N18" s="596">
        <v>250710</v>
      </c>
      <c r="O18" s="596">
        <f>'Student Services'!E285</f>
        <v>250710</v>
      </c>
      <c r="P18" s="596">
        <v>249798</v>
      </c>
      <c r="Q18" s="596">
        <v>131596</v>
      </c>
      <c r="R18" s="596">
        <v>160504</v>
      </c>
      <c r="S18" s="145">
        <f>'Student Services'!G285</f>
        <v>163004</v>
      </c>
      <c r="T18" s="226">
        <v>89324</v>
      </c>
      <c r="U18" s="227">
        <v>105173.49</v>
      </c>
    </row>
    <row r="19" spans="1:24">
      <c r="A19" s="701" t="s">
        <v>46</v>
      </c>
      <c r="B19" s="186">
        <f>'Student Fees'!C19</f>
        <v>33420</v>
      </c>
      <c r="C19" s="186">
        <v>33420</v>
      </c>
      <c r="D19" s="186">
        <f>'Student Fees'!E19</f>
        <v>33420</v>
      </c>
      <c r="E19" s="186">
        <v>25312.86</v>
      </c>
      <c r="F19" s="186">
        <f>'Student Fees'!E19</f>
        <v>33420</v>
      </c>
      <c r="G19" s="186">
        <v>33300</v>
      </c>
      <c r="H19" s="186">
        <v>33300</v>
      </c>
      <c r="I19" s="30">
        <v>24157</v>
      </c>
      <c r="J19" s="194">
        <v>33000</v>
      </c>
      <c r="L19" s="174" t="s">
        <v>47</v>
      </c>
      <c r="M19" s="596"/>
      <c r="N19" s="596"/>
      <c r="O19" s="596">
        <f>'Student Services'!E183</f>
        <v>0</v>
      </c>
      <c r="P19" s="596">
        <v>0</v>
      </c>
      <c r="Q19" s="596">
        <v>0</v>
      </c>
      <c r="R19" s="596">
        <v>0</v>
      </c>
      <c r="S19" s="145">
        <v>0</v>
      </c>
      <c r="T19" s="226">
        <v>61177</v>
      </c>
      <c r="U19" s="227">
        <v>79791.959999999992</v>
      </c>
      <c r="V19" s="145"/>
      <c r="W19" s="69"/>
      <c r="X19" s="156"/>
    </row>
    <row r="20" spans="1:24">
      <c r="A20" s="701" t="s">
        <v>48</v>
      </c>
      <c r="B20" s="186">
        <f>'Student Fees'!C20</f>
        <v>17339606.325600002</v>
      </c>
      <c r="C20" s="186">
        <v>16900860</v>
      </c>
      <c r="D20" s="186">
        <f>'Student Fees'!E20</f>
        <v>16900860</v>
      </c>
      <c r="E20" s="186">
        <v>15460558.75</v>
      </c>
      <c r="F20" s="186">
        <f>'Student Fees'!E20</f>
        <v>16900860</v>
      </c>
      <c r="G20" s="186">
        <v>14534000</v>
      </c>
      <c r="H20" s="186">
        <v>14534000</v>
      </c>
      <c r="I20" s="30">
        <v>11932500</v>
      </c>
      <c r="J20" s="194">
        <v>11932500</v>
      </c>
      <c r="L20" s="174" t="s">
        <v>49</v>
      </c>
      <c r="M20" s="596">
        <v>0</v>
      </c>
      <c r="N20" s="596">
        <v>0</v>
      </c>
      <c r="O20" s="596">
        <v>0</v>
      </c>
      <c r="P20" s="599">
        <v>0</v>
      </c>
      <c r="Q20" s="599">
        <v>0</v>
      </c>
      <c r="R20" s="599">
        <v>0</v>
      </c>
      <c r="S20" s="108">
        <v>0</v>
      </c>
      <c r="T20" s="108">
        <v>0</v>
      </c>
      <c r="U20" s="232"/>
    </row>
    <row r="21" spans="1:24">
      <c r="A21" s="701" t="s">
        <v>50</v>
      </c>
      <c r="B21" s="186">
        <f>'Student Fees'!C21</f>
        <v>5570000</v>
      </c>
      <c r="C21" s="186">
        <v>5570000</v>
      </c>
      <c r="D21" s="186">
        <f>'Student Fees'!E21</f>
        <v>5570000</v>
      </c>
      <c r="E21" s="186">
        <v>5450737</v>
      </c>
      <c r="F21" s="186">
        <f>'Student Fees'!E21</f>
        <v>5570000</v>
      </c>
      <c r="G21" s="186">
        <v>5550000</v>
      </c>
      <c r="H21" s="186">
        <v>5550000</v>
      </c>
      <c r="I21" s="30">
        <v>5500000</v>
      </c>
      <c r="J21" s="194">
        <v>5500000</v>
      </c>
      <c r="L21" s="174" t="s">
        <v>51</v>
      </c>
      <c r="M21" s="596">
        <f>'Student Services'!C288</f>
        <v>123871</v>
      </c>
      <c r="N21" s="596">
        <v>148749</v>
      </c>
      <c r="O21" s="596">
        <f>'Student Services'!E288</f>
        <v>166408</v>
      </c>
      <c r="P21" s="596">
        <f>'Student Services'!F288</f>
        <v>74783</v>
      </c>
      <c r="Q21" s="596">
        <v>96016</v>
      </c>
      <c r="R21" s="596">
        <v>82974</v>
      </c>
      <c r="S21" s="233">
        <f>'Student Services'!G288</f>
        <v>135236</v>
      </c>
      <c r="T21" s="234">
        <v>108776</v>
      </c>
      <c r="U21" s="235">
        <v>124017.51999999999</v>
      </c>
    </row>
    <row r="22" spans="1:24">
      <c r="A22" s="701" t="s">
        <v>52</v>
      </c>
      <c r="B22" s="186">
        <f>'Student Fees'!C22</f>
        <v>25729.2225</v>
      </c>
      <c r="C22" s="186">
        <v>25065</v>
      </c>
      <c r="D22" s="186">
        <f>'Student Fees'!E22</f>
        <v>25065</v>
      </c>
      <c r="E22" s="186">
        <v>24139.18</v>
      </c>
      <c r="F22" s="186">
        <f>'Student Fees'!E22</f>
        <v>25065</v>
      </c>
      <c r="G22" s="186">
        <v>23865</v>
      </c>
      <c r="H22" s="186">
        <v>23865</v>
      </c>
      <c r="I22" s="30">
        <v>22170</v>
      </c>
      <c r="J22" s="194">
        <v>22000</v>
      </c>
      <c r="L22" s="174" t="s">
        <v>53</v>
      </c>
      <c r="M22" s="596">
        <f>'Student Services'!C289</f>
        <v>168148</v>
      </c>
      <c r="N22" s="596">
        <v>162562</v>
      </c>
      <c r="O22" s="596">
        <f>'Student Services'!E289</f>
        <v>162562</v>
      </c>
      <c r="P22" s="596">
        <f>'Student Services'!F289</f>
        <v>166024</v>
      </c>
      <c r="Q22" s="596">
        <v>161712</v>
      </c>
      <c r="R22" s="596">
        <v>172914</v>
      </c>
      <c r="S22" s="233">
        <f>'Student Services'!G289</f>
        <v>183337</v>
      </c>
      <c r="T22" s="234">
        <v>152163</v>
      </c>
      <c r="U22" s="235">
        <v>202405.72</v>
      </c>
    </row>
    <row r="23" spans="1:24">
      <c r="A23" s="704" t="s">
        <v>54</v>
      </c>
      <c r="B23" s="186">
        <f>'Student Fees'!C23</f>
        <v>64608.936499999989</v>
      </c>
      <c r="C23" s="186">
        <v>62940.999999999993</v>
      </c>
      <c r="D23" s="186">
        <f>'Student Fees'!E23</f>
        <v>62940.999999999993</v>
      </c>
      <c r="E23" s="186">
        <v>61194.89</v>
      </c>
      <c r="F23" s="186">
        <f>'Student Fees'!E23</f>
        <v>62940.999999999993</v>
      </c>
      <c r="G23" s="108">
        <v>60495</v>
      </c>
      <c r="H23" s="108">
        <v>60495</v>
      </c>
      <c r="I23" s="30">
        <v>56518</v>
      </c>
      <c r="J23" s="194">
        <v>56100</v>
      </c>
      <c r="L23" s="174" t="s">
        <v>55</v>
      </c>
      <c r="M23" s="596">
        <f>'Student Services'!C290</f>
        <v>51968</v>
      </c>
      <c r="N23" s="596">
        <v>55123</v>
      </c>
      <c r="O23" s="596">
        <f>'Student Services'!E290</f>
        <v>64832</v>
      </c>
      <c r="P23" s="596">
        <f>'Student Services'!F290</f>
        <v>65524</v>
      </c>
      <c r="Q23" s="596">
        <v>81159</v>
      </c>
      <c r="R23" s="596">
        <v>95489</v>
      </c>
      <c r="S23" s="233">
        <f>'Student Services'!G290</f>
        <v>108419.79999999999</v>
      </c>
      <c r="T23" s="234">
        <v>72247</v>
      </c>
      <c r="U23" s="235">
        <v>89755.959999999992</v>
      </c>
    </row>
    <row r="24" spans="1:24">
      <c r="A24" s="704" t="s">
        <v>56</v>
      </c>
      <c r="B24" s="186">
        <f>'Student Fees'!C24</f>
        <v>64608.936499999989</v>
      </c>
      <c r="C24" s="186">
        <v>62940.999999999993</v>
      </c>
      <c r="D24" s="186">
        <f>'Student Fees'!E24</f>
        <v>62940.999999999993</v>
      </c>
      <c r="E24" s="186">
        <v>55081.53</v>
      </c>
      <c r="F24" s="186">
        <f>'Student Fees'!E24</f>
        <v>62940.999999999993</v>
      </c>
      <c r="G24" s="108">
        <v>60495</v>
      </c>
      <c r="H24" s="108">
        <v>60495</v>
      </c>
      <c r="I24" s="30">
        <v>56077</v>
      </c>
      <c r="J24" s="194">
        <v>56100</v>
      </c>
      <c r="L24" s="228" t="s">
        <v>57</v>
      </c>
      <c r="M24" s="596"/>
      <c r="N24" s="596">
        <v>0</v>
      </c>
      <c r="O24" s="596">
        <v>0</v>
      </c>
      <c r="P24" s="596">
        <v>0</v>
      </c>
      <c r="Q24" s="596">
        <v>0</v>
      </c>
      <c r="R24" s="596">
        <v>0</v>
      </c>
      <c r="S24" s="236">
        <v>0</v>
      </c>
      <c r="T24" s="234">
        <v>16687</v>
      </c>
      <c r="U24" s="235">
        <v>20201</v>
      </c>
    </row>
    <row r="25" spans="1:24">
      <c r="A25" s="704" t="str">
        <f>'Student Fees'!A25</f>
        <v>Fitness and Recreation Building Fee</v>
      </c>
      <c r="B25" s="186">
        <f>'Student Fees'!C25</f>
        <v>1114000</v>
      </c>
      <c r="C25" s="186">
        <v>835500</v>
      </c>
      <c r="D25" s="186">
        <f>'Student Fees'!E25</f>
        <v>835500</v>
      </c>
      <c r="E25" s="186">
        <v>555000</v>
      </c>
      <c r="F25" s="186">
        <f>'Student Fees'!E25</f>
        <v>835500</v>
      </c>
      <c r="G25" s="108">
        <v>555000</v>
      </c>
      <c r="H25" s="108">
        <v>555000</v>
      </c>
      <c r="I25" s="30">
        <v>275000</v>
      </c>
      <c r="J25" s="194">
        <v>275000</v>
      </c>
      <c r="K25" s="61"/>
      <c r="L25" s="229" t="s">
        <v>58</v>
      </c>
      <c r="M25" s="596"/>
      <c r="N25" s="596">
        <v>0</v>
      </c>
      <c r="O25" s="596">
        <v>0</v>
      </c>
      <c r="P25" s="596">
        <v>0</v>
      </c>
      <c r="Q25" s="596">
        <v>0</v>
      </c>
      <c r="R25" s="596">
        <v>0</v>
      </c>
      <c r="S25" s="236">
        <v>0</v>
      </c>
      <c r="T25" s="234">
        <v>0</v>
      </c>
      <c r="U25" s="235">
        <v>0</v>
      </c>
    </row>
    <row r="26" spans="1:24">
      <c r="A26" s="195" t="s">
        <v>59</v>
      </c>
      <c r="B26" s="186" t="s">
        <v>60</v>
      </c>
      <c r="C26" s="186" t="s">
        <v>60</v>
      </c>
      <c r="D26" s="186" t="s">
        <v>60</v>
      </c>
      <c r="E26" s="186" t="s">
        <v>60</v>
      </c>
      <c r="F26" s="186" t="s">
        <v>60</v>
      </c>
      <c r="H26" s="30" t="s">
        <v>60</v>
      </c>
      <c r="I26" s="216" t="s">
        <v>60</v>
      </c>
      <c r="J26" s="217" t="s">
        <v>60</v>
      </c>
      <c r="K26" s="68"/>
      <c r="L26" s="229" t="s">
        <v>61</v>
      </c>
      <c r="M26" s="596"/>
      <c r="N26" s="596">
        <v>0</v>
      </c>
      <c r="O26" s="596">
        <v>0</v>
      </c>
      <c r="P26" s="596">
        <v>0</v>
      </c>
      <c r="Q26" s="596">
        <v>0</v>
      </c>
      <c r="R26" s="596">
        <v>0</v>
      </c>
      <c r="S26" s="236">
        <v>0</v>
      </c>
      <c r="T26" s="234">
        <v>16790</v>
      </c>
      <c r="U26" s="235">
        <v>23301</v>
      </c>
    </row>
    <row r="27" spans="1:24" ht="15.95" thickBot="1">
      <c r="A27" s="199" t="s">
        <v>62</v>
      </c>
      <c r="B27" s="621">
        <f t="shared" ref="B27:J27" si="3">SUM(B4:B26)</f>
        <v>32099538.742600005</v>
      </c>
      <c r="C27" s="621">
        <f t="shared" si="3"/>
        <v>30845355</v>
      </c>
      <c r="D27" s="621">
        <f t="shared" si="3"/>
        <v>30845355</v>
      </c>
      <c r="E27" s="621">
        <f t="shared" si="3"/>
        <v>29101914.920000002</v>
      </c>
      <c r="F27" s="621">
        <f t="shared" si="3"/>
        <v>31223558</v>
      </c>
      <c r="G27" s="187">
        <f t="shared" si="3"/>
        <v>28301885</v>
      </c>
      <c r="H27" s="187">
        <f t="shared" si="3"/>
        <v>28301885</v>
      </c>
      <c r="I27" s="187">
        <f t="shared" si="3"/>
        <v>24813714</v>
      </c>
      <c r="J27" s="200">
        <f t="shared" si="3"/>
        <v>24789850</v>
      </c>
      <c r="L27" s="174" t="s">
        <v>63</v>
      </c>
      <c r="M27" s="596">
        <f>'Student Services'!C291</f>
        <v>66948</v>
      </c>
      <c r="N27" s="596">
        <v>61571</v>
      </c>
      <c r="O27" s="596">
        <f>'Student Services'!E291</f>
        <v>61571</v>
      </c>
      <c r="P27" s="596">
        <f>'Student Services'!F291</f>
        <v>59571</v>
      </c>
      <c r="Q27" s="596">
        <v>60120</v>
      </c>
      <c r="R27" s="596">
        <v>60082</v>
      </c>
      <c r="S27" s="145">
        <f>'Student Services'!G291</f>
        <v>60082</v>
      </c>
      <c r="T27" s="226">
        <v>44610</v>
      </c>
      <c r="U27" s="227">
        <v>55049</v>
      </c>
    </row>
    <row r="28" spans="1:24" ht="15.95" thickBot="1">
      <c r="A28" s="196" t="s">
        <v>64</v>
      </c>
      <c r="B28" s="218"/>
      <c r="C28" s="218"/>
      <c r="D28" s="218"/>
      <c r="E28" s="218"/>
      <c r="F28" s="218"/>
      <c r="G28" s="218"/>
      <c r="H28" s="218"/>
      <c r="I28" s="218"/>
      <c r="J28" s="219"/>
      <c r="L28" s="174" t="s">
        <v>65</v>
      </c>
      <c r="M28" s="596">
        <f>'Student Services'!C292</f>
        <v>54924</v>
      </c>
      <c r="N28" s="596">
        <v>27026</v>
      </c>
      <c r="O28" s="596">
        <f>'Student Services'!E292</f>
        <v>25197</v>
      </c>
      <c r="P28" s="596">
        <f>'Student Services'!F292</f>
        <v>25195</v>
      </c>
      <c r="Q28" s="596">
        <v>51437</v>
      </c>
      <c r="R28" s="596">
        <v>48462</v>
      </c>
      <c r="S28" s="145">
        <f>'Student Services'!G292</f>
        <v>47382</v>
      </c>
      <c r="T28" s="226">
        <v>20871</v>
      </c>
      <c r="U28" s="227">
        <v>19251</v>
      </c>
    </row>
    <row r="29" spans="1:24">
      <c r="A29" s="197" t="s">
        <v>66</v>
      </c>
      <c r="B29" s="108">
        <f>'Business Contribution Breakdown'!B35</f>
        <v>1947886</v>
      </c>
      <c r="C29" s="108">
        <f>'Business Contribution Breakdown'!C35</f>
        <v>1778032</v>
      </c>
      <c r="D29" s="108">
        <f>'Business Contribution Breakdown'!D35</f>
        <v>1719394</v>
      </c>
      <c r="E29" s="108">
        <f>'Business Contribution Breakdown'!E35</f>
        <v>1530499</v>
      </c>
      <c r="F29" s="108">
        <f>'Business Contribution Breakdown'!F35</f>
        <v>1664039</v>
      </c>
      <c r="G29" s="108">
        <f>'Business Contribution Breakdown'!G35</f>
        <v>1307642</v>
      </c>
      <c r="H29" s="220">
        <f>'Business Contribution Breakdown'!H35</f>
        <v>932844</v>
      </c>
      <c r="I29" s="188">
        <v>1534153</v>
      </c>
      <c r="J29" s="198">
        <v>1019621.3899999999</v>
      </c>
      <c r="L29" s="175" t="s">
        <v>67</v>
      </c>
      <c r="M29" s="597">
        <f>SUM(M18:M28)</f>
        <v>710103</v>
      </c>
      <c r="N29" s="597">
        <f t="shared" ref="N29:U29" si="4">SUM(N18:N28)</f>
        <v>705741</v>
      </c>
      <c r="O29" s="597">
        <f t="shared" si="4"/>
        <v>731280</v>
      </c>
      <c r="P29" s="597">
        <f t="shared" si="4"/>
        <v>640895</v>
      </c>
      <c r="Q29" s="597">
        <f t="shared" si="4"/>
        <v>582040</v>
      </c>
      <c r="R29" s="597">
        <f t="shared" si="4"/>
        <v>620425</v>
      </c>
      <c r="S29" s="78">
        <f t="shared" si="4"/>
        <v>697460.8</v>
      </c>
      <c r="T29" s="155">
        <f t="shared" si="4"/>
        <v>582645</v>
      </c>
      <c r="U29" s="182">
        <f t="shared" si="4"/>
        <v>718946.64999999991</v>
      </c>
    </row>
    <row r="30" spans="1:24">
      <c r="A30" s="197" t="s">
        <v>68</v>
      </c>
      <c r="B30" s="68"/>
      <c r="C30" s="68"/>
      <c r="D30" s="68"/>
      <c r="E30" s="68"/>
      <c r="F30" s="68"/>
      <c r="G30" s="68"/>
      <c r="H30" s="68"/>
      <c r="I30" s="68"/>
      <c r="J30" s="221"/>
      <c r="L30" s="177" t="s">
        <v>69</v>
      </c>
      <c r="M30" s="752"/>
      <c r="N30" s="752"/>
      <c r="O30" s="76"/>
      <c r="P30" s="76"/>
      <c r="Q30" s="598"/>
      <c r="R30" s="598"/>
      <c r="S30" s="76"/>
      <c r="T30" s="144"/>
      <c r="U30" s="183"/>
    </row>
    <row r="31" spans="1:24">
      <c r="A31" s="197" t="s">
        <v>70</v>
      </c>
      <c r="B31" s="30">
        <v>600000</v>
      </c>
      <c r="C31" s="30">
        <v>600000</v>
      </c>
      <c r="D31" s="30">
        <v>600000</v>
      </c>
      <c r="E31" s="30">
        <v>500000</v>
      </c>
      <c r="F31" s="30">
        <v>500000</v>
      </c>
      <c r="G31" s="30">
        <v>500000</v>
      </c>
      <c r="H31" s="30">
        <v>500000</v>
      </c>
      <c r="I31" s="188">
        <v>500000</v>
      </c>
      <c r="J31" s="198">
        <v>500000</v>
      </c>
      <c r="L31" s="174" t="s">
        <v>71</v>
      </c>
      <c r="M31" s="596">
        <f>'AMS Events'!C149</f>
        <v>288347</v>
      </c>
      <c r="N31" s="596">
        <f>'AMS Events'!D149</f>
        <v>212514</v>
      </c>
      <c r="O31" s="596">
        <f>'AMS Events'!E149</f>
        <v>258784</v>
      </c>
      <c r="P31" s="596">
        <f>'AMS Events'!F149</f>
        <v>328324.53000000003</v>
      </c>
      <c r="Q31" s="596">
        <v>221934</v>
      </c>
      <c r="R31" s="596">
        <v>244300</v>
      </c>
      <c r="S31" s="145">
        <f>'AMS Events'!G149</f>
        <v>239600</v>
      </c>
      <c r="T31" s="145">
        <v>110949</v>
      </c>
      <c r="U31" s="179">
        <v>242450</v>
      </c>
    </row>
    <row r="32" spans="1:24">
      <c r="A32" s="197" t="s">
        <v>72</v>
      </c>
      <c r="B32" s="68"/>
      <c r="C32" s="68"/>
      <c r="D32" s="68"/>
      <c r="E32" s="68"/>
      <c r="F32" s="68"/>
      <c r="G32" s="68"/>
      <c r="H32" s="68"/>
      <c r="I32" s="68"/>
      <c r="J32" s="221"/>
      <c r="L32" s="174" t="s">
        <v>73</v>
      </c>
      <c r="M32" s="599"/>
      <c r="N32" s="596">
        <f>'AMS Events'!D150</f>
        <v>0</v>
      </c>
      <c r="O32" s="599">
        <v>0</v>
      </c>
      <c r="P32" s="599">
        <v>0</v>
      </c>
      <c r="Q32" s="599">
        <v>63157</v>
      </c>
      <c r="R32" s="599">
        <v>57849</v>
      </c>
      <c r="S32" s="30">
        <f>'AMS Events'!G150</f>
        <v>53200</v>
      </c>
      <c r="T32" s="30">
        <v>337707</v>
      </c>
      <c r="U32" s="179">
        <v>77500</v>
      </c>
    </row>
    <row r="33" spans="1:28">
      <c r="A33" s="197" t="s">
        <v>74</v>
      </c>
      <c r="B33" s="108">
        <v>0</v>
      </c>
      <c r="C33" s="108">
        <v>100000</v>
      </c>
      <c r="D33" s="108">
        <v>100000</v>
      </c>
      <c r="E33" s="108">
        <v>0</v>
      </c>
      <c r="F33" s="108">
        <v>100000</v>
      </c>
      <c r="G33" s="68"/>
      <c r="H33" s="68"/>
      <c r="I33" s="68"/>
      <c r="J33" s="221"/>
      <c r="L33" s="174" t="s">
        <v>75</v>
      </c>
      <c r="M33" s="596">
        <f>'AMS Events'!C151</f>
        <v>23100</v>
      </c>
      <c r="N33" s="596">
        <f>'AMS Events'!D151</f>
        <v>-8709</v>
      </c>
      <c r="O33" s="596">
        <f>'AMS Events'!E151</f>
        <v>29500</v>
      </c>
      <c r="P33" s="596">
        <f>'AMS Events'!F151</f>
        <v>13500</v>
      </c>
      <c r="Q33" s="596">
        <v>20346</v>
      </c>
      <c r="R33" s="596">
        <v>-930</v>
      </c>
      <c r="S33" s="145">
        <f>'AMS Events'!G151</f>
        <v>2500</v>
      </c>
      <c r="T33" s="145">
        <v>17683</v>
      </c>
      <c r="U33" s="179">
        <v>17850</v>
      </c>
    </row>
    <row r="34" spans="1:28" ht="15.95" thickBot="1">
      <c r="A34" s="197" t="s">
        <v>76</v>
      </c>
      <c r="B34" s="68"/>
      <c r="C34" s="68"/>
      <c r="D34" s="68"/>
      <c r="E34" s="68"/>
      <c r="F34" s="68"/>
      <c r="G34" s="68"/>
      <c r="H34" s="68"/>
      <c r="I34" s="222"/>
      <c r="J34" s="223"/>
      <c r="L34" s="174" t="s">
        <v>77</v>
      </c>
      <c r="M34" s="596">
        <f>'AMS Events'!C152</f>
        <v>252300</v>
      </c>
      <c r="N34" s="596">
        <f>'AMS Events'!D152</f>
        <v>234000</v>
      </c>
      <c r="O34" s="596">
        <f>'AMS Events'!E152</f>
        <v>234000</v>
      </c>
      <c r="P34" s="596">
        <f>'AMS Events'!F152</f>
        <v>234000</v>
      </c>
      <c r="Q34" s="596">
        <v>224067</v>
      </c>
      <c r="R34" s="596">
        <v>272700</v>
      </c>
      <c r="S34" s="145">
        <f>'AMS Events'!G152</f>
        <v>123000</v>
      </c>
      <c r="T34" s="145">
        <v>295293</v>
      </c>
      <c r="U34" s="179">
        <v>80000</v>
      </c>
    </row>
    <row r="35" spans="1:28" ht="15.95" thickBot="1">
      <c r="A35" s="199" t="s">
        <v>78</v>
      </c>
      <c r="B35" s="621">
        <f t="shared" ref="B35:H35" si="5">SUM(B28:B34)</f>
        <v>2547886</v>
      </c>
      <c r="C35" s="621">
        <f t="shared" si="5"/>
        <v>2478032</v>
      </c>
      <c r="D35" s="621">
        <f t="shared" si="5"/>
        <v>2419394</v>
      </c>
      <c r="E35" s="621">
        <f t="shared" si="5"/>
        <v>2030499</v>
      </c>
      <c r="F35" s="621">
        <f t="shared" si="5"/>
        <v>2264039</v>
      </c>
      <c r="G35" s="621">
        <f t="shared" si="5"/>
        <v>1807642</v>
      </c>
      <c r="H35" s="621">
        <f t="shared" si="5"/>
        <v>1432844</v>
      </c>
      <c r="I35" s="189">
        <f>SUM(I29:I34)</f>
        <v>2034153</v>
      </c>
      <c r="J35" s="204">
        <f>SUM(J29:J34)</f>
        <v>1519621.39</v>
      </c>
      <c r="L35" s="175" t="s">
        <v>79</v>
      </c>
      <c r="M35" s="597">
        <f>SUM(M30:M34)</f>
        <v>563747</v>
      </c>
      <c r="N35" s="597">
        <f>SUM(N31:N34)</f>
        <v>437805</v>
      </c>
      <c r="O35" s="597">
        <f t="shared" ref="O35:U35" si="6">SUM(O31:O34)</f>
        <v>522284</v>
      </c>
      <c r="P35" s="597">
        <f t="shared" si="6"/>
        <v>575824.53</v>
      </c>
      <c r="Q35" s="597">
        <f t="shared" si="6"/>
        <v>529504</v>
      </c>
      <c r="R35" s="597">
        <f t="shared" si="6"/>
        <v>573919</v>
      </c>
      <c r="S35" s="588">
        <f t="shared" si="6"/>
        <v>418300</v>
      </c>
      <c r="T35" s="78">
        <f t="shared" si="6"/>
        <v>761632</v>
      </c>
      <c r="U35" s="181">
        <f t="shared" si="6"/>
        <v>417800</v>
      </c>
    </row>
    <row r="36" spans="1:28">
      <c r="A36" s="196" t="s">
        <v>80</v>
      </c>
      <c r="B36" s="218"/>
      <c r="C36" s="218"/>
      <c r="D36" s="218"/>
      <c r="E36" s="218"/>
      <c r="F36" s="218"/>
      <c r="G36" s="218"/>
      <c r="H36" s="218"/>
      <c r="I36" s="218"/>
      <c r="J36" s="219"/>
      <c r="L36" s="177" t="s">
        <v>81</v>
      </c>
      <c r="M36" s="752"/>
      <c r="N36" s="752"/>
      <c r="O36" s="76"/>
      <c r="P36" s="76"/>
      <c r="Q36" s="614"/>
      <c r="R36" s="598"/>
      <c r="S36" s="76"/>
      <c r="T36" s="144"/>
      <c r="U36" s="183"/>
    </row>
    <row r="37" spans="1:28">
      <c r="A37" s="197" t="s">
        <v>82</v>
      </c>
      <c r="B37" s="68" t="s">
        <v>60</v>
      </c>
      <c r="C37" s="68" t="s">
        <v>60</v>
      </c>
      <c r="D37" s="68" t="s">
        <v>60</v>
      </c>
      <c r="E37" s="68" t="s">
        <v>60</v>
      </c>
      <c r="F37" s="68" t="s">
        <v>60</v>
      </c>
      <c r="G37" s="30">
        <f>G26</f>
        <v>0</v>
      </c>
      <c r="H37" s="30" t="str">
        <f>H26</f>
        <v>varied</v>
      </c>
      <c r="I37" s="69" t="str">
        <f>I26</f>
        <v>varied</v>
      </c>
      <c r="J37" s="201" t="str">
        <f>J26</f>
        <v>varied</v>
      </c>
      <c r="L37" s="174" t="s">
        <v>83</v>
      </c>
      <c r="M37" s="692">
        <f>'Ancillary Services'!C26</f>
        <v>371379</v>
      </c>
      <c r="N37" s="692">
        <f>'Ancillary Services'!D89</f>
        <v>345674</v>
      </c>
      <c r="O37" s="692">
        <f>'Ancillary Services'!E89</f>
        <v>335725</v>
      </c>
      <c r="P37" s="596">
        <f>'Ancillary Services'!F89</f>
        <v>282221</v>
      </c>
      <c r="Q37" s="108">
        <v>345692</v>
      </c>
      <c r="R37" s="596">
        <v>335217</v>
      </c>
      <c r="S37" s="145">
        <f>'Ancillary Services'!G89</f>
        <v>348036</v>
      </c>
      <c r="T37" s="145">
        <v>426934</v>
      </c>
      <c r="U37" s="179">
        <v>256966</v>
      </c>
    </row>
    <row r="38" spans="1:28">
      <c r="A38" s="197" t="s">
        <v>84</v>
      </c>
      <c r="B38" s="30">
        <f>B19</f>
        <v>33420</v>
      </c>
      <c r="C38" s="30">
        <f>C19</f>
        <v>33420</v>
      </c>
      <c r="D38" s="30">
        <f t="shared" ref="D38:F38" si="7">D19</f>
        <v>33420</v>
      </c>
      <c r="E38" s="30">
        <f>E19</f>
        <v>25312.86</v>
      </c>
      <c r="F38" s="30">
        <f t="shared" si="7"/>
        <v>33420</v>
      </c>
      <c r="G38" s="30">
        <f>G19</f>
        <v>33300</v>
      </c>
      <c r="H38" s="30">
        <f>H19</f>
        <v>33300</v>
      </c>
      <c r="I38" s="69">
        <f t="shared" ref="I38" si="8">I19</f>
        <v>24157</v>
      </c>
      <c r="J38" s="201">
        <f t="shared" ref="J38" si="9">J19</f>
        <v>33000</v>
      </c>
      <c r="L38" s="174" t="s">
        <v>85</v>
      </c>
      <c r="M38" s="692">
        <f>'Ancillary Services'!C64</f>
        <v>32630</v>
      </c>
      <c r="N38" s="692">
        <f>'Ancillary Services'!D90</f>
        <v>25593</v>
      </c>
      <c r="O38" s="692">
        <f>'Ancillary Services'!E90</f>
        <v>45592.69</v>
      </c>
      <c r="P38" s="596">
        <f>'Ancillary Services'!F90</f>
        <v>40192.69</v>
      </c>
      <c r="Q38" s="108">
        <v>71879</v>
      </c>
      <c r="R38" s="596">
        <v>89003</v>
      </c>
      <c r="S38" s="145">
        <f>'Ancillary Services'!G90</f>
        <v>123670</v>
      </c>
      <c r="T38" s="145">
        <v>29</v>
      </c>
      <c r="U38" s="179">
        <v>0</v>
      </c>
    </row>
    <row r="39" spans="1:28">
      <c r="A39" s="197" t="s">
        <v>86</v>
      </c>
      <c r="B39" s="30">
        <f t="shared" ref="B39:C39" si="10">B20</f>
        <v>17339606.325600002</v>
      </c>
      <c r="C39" s="30">
        <f t="shared" si="10"/>
        <v>16900860</v>
      </c>
      <c r="D39" s="30">
        <f t="shared" ref="D39:F39" si="11">D20</f>
        <v>16900860</v>
      </c>
      <c r="E39" s="30">
        <f>E20</f>
        <v>15460558.75</v>
      </c>
      <c r="F39" s="30">
        <f t="shared" si="11"/>
        <v>16900860</v>
      </c>
      <c r="G39" s="30">
        <f>G20</f>
        <v>14534000</v>
      </c>
      <c r="H39" s="30">
        <f>H20</f>
        <v>14534000</v>
      </c>
      <c r="I39" s="69">
        <f t="shared" ref="I39" si="12">I20</f>
        <v>11932500</v>
      </c>
      <c r="J39" s="201">
        <f t="shared" ref="J39" si="13">J20</f>
        <v>11932500</v>
      </c>
      <c r="L39" s="174" t="s">
        <v>87</v>
      </c>
      <c r="M39" s="285">
        <f>'Ancillary Services'!C43</f>
        <v>0</v>
      </c>
      <c r="N39" s="692">
        <f>'Ancillary Services'!D91</f>
        <v>0</v>
      </c>
      <c r="O39" s="285">
        <v>0</v>
      </c>
      <c r="P39" s="596">
        <v>0</v>
      </c>
      <c r="Q39" s="108">
        <v>8030</v>
      </c>
      <c r="R39" s="596">
        <v>6733.33</v>
      </c>
      <c r="S39" s="145">
        <f>'Ancillary Services'!G91</f>
        <v>88853</v>
      </c>
      <c r="T39" s="145">
        <v>71280</v>
      </c>
      <c r="U39" s="179">
        <v>77800.52</v>
      </c>
    </row>
    <row r="40" spans="1:28" ht="15.95" thickBot="1">
      <c r="A40" s="197" t="s">
        <v>88</v>
      </c>
      <c r="B40" s="30">
        <v>1500</v>
      </c>
      <c r="C40" s="30">
        <v>1500</v>
      </c>
      <c r="D40" s="30">
        <v>1500</v>
      </c>
      <c r="E40" s="30">
        <v>1499</v>
      </c>
      <c r="F40" s="30">
        <v>1500</v>
      </c>
      <c r="G40" s="30">
        <v>1500</v>
      </c>
      <c r="H40" s="30">
        <v>1500</v>
      </c>
      <c r="I40" s="69">
        <v>3000</v>
      </c>
      <c r="J40" s="201">
        <v>3000</v>
      </c>
      <c r="L40" s="174" t="s">
        <v>89</v>
      </c>
      <c r="M40" s="692">
        <f>'Ancillary Services'!C88</f>
        <v>112477</v>
      </c>
      <c r="N40" s="692">
        <f>'Ancillary Services'!D92</f>
        <v>105875</v>
      </c>
      <c r="O40" s="692">
        <f>'Ancillary Services'!E92</f>
        <v>108506</v>
      </c>
      <c r="P40" s="596">
        <f>'Ancillary Services'!F92</f>
        <v>108506</v>
      </c>
      <c r="Q40" s="108">
        <v>98095</v>
      </c>
      <c r="R40" s="596">
        <v>106014.96</v>
      </c>
      <c r="S40" s="145">
        <f>'Ancillary Services'!G92</f>
        <v>95398</v>
      </c>
      <c r="T40" s="145">
        <v>87788</v>
      </c>
      <c r="U40" s="179">
        <v>83910</v>
      </c>
    </row>
    <row r="41" spans="1:28">
      <c r="A41" s="197" t="s">
        <v>19</v>
      </c>
      <c r="B41" s="30">
        <f t="shared" ref="B41:C41" si="14">B5</f>
        <v>554035.92449999996</v>
      </c>
      <c r="C41" s="30">
        <f t="shared" si="14"/>
        <v>539733</v>
      </c>
      <c r="D41" s="30">
        <f t="shared" ref="D41" si="15">D5</f>
        <v>539733</v>
      </c>
      <c r="E41" s="30">
        <f>E5</f>
        <v>524240.38</v>
      </c>
      <c r="F41" s="30">
        <f t="shared" ref="F41" si="16">F5</f>
        <v>539733</v>
      </c>
      <c r="G41" s="30">
        <f>G5</f>
        <v>518370</v>
      </c>
      <c r="H41" s="30">
        <f>H5</f>
        <v>518370</v>
      </c>
      <c r="I41" s="69">
        <f t="shared" ref="I41" si="17">I5</f>
        <v>483866</v>
      </c>
      <c r="J41" s="201">
        <f t="shared" ref="J41" si="18">J5</f>
        <v>480700</v>
      </c>
      <c r="L41" s="175" t="s">
        <v>90</v>
      </c>
      <c r="M41" s="597">
        <f>SUM(M37:M40)</f>
        <v>516486</v>
      </c>
      <c r="N41" s="597">
        <f>SUM(N37:N40)</f>
        <v>477142</v>
      </c>
      <c r="O41" s="597">
        <f t="shared" ref="O41:T41" si="19">SUM(O37:O40)</f>
        <v>489823.69</v>
      </c>
      <c r="P41" s="597">
        <f t="shared" si="19"/>
        <v>430919.69</v>
      </c>
      <c r="Q41" s="682">
        <f t="shared" si="19"/>
        <v>523696</v>
      </c>
      <c r="R41" s="597">
        <f t="shared" si="19"/>
        <v>536968.29</v>
      </c>
      <c r="S41" s="78">
        <f t="shared" si="19"/>
        <v>655957</v>
      </c>
      <c r="T41" s="78">
        <f t="shared" si="19"/>
        <v>586031</v>
      </c>
      <c r="U41" s="181">
        <v>418676.52</v>
      </c>
    </row>
    <row r="42" spans="1:28">
      <c r="A42" s="197" t="s">
        <v>91</v>
      </c>
      <c r="B42" s="30">
        <f t="shared" ref="B42:C42" si="20">B9</f>
        <v>388225.37949999998</v>
      </c>
      <c r="C42" s="30">
        <f t="shared" si="20"/>
        <v>0</v>
      </c>
      <c r="D42" s="30">
        <f t="shared" ref="D42" si="21">D9</f>
        <v>0</v>
      </c>
      <c r="E42" s="30">
        <f>E9</f>
        <v>327945.03000000003</v>
      </c>
      <c r="F42" s="30">
        <f t="shared" ref="F42" si="22">F9</f>
        <v>378203</v>
      </c>
      <c r="G42" s="30">
        <f>G9</f>
        <v>363525</v>
      </c>
      <c r="H42" s="30">
        <f>H9</f>
        <v>363525</v>
      </c>
      <c r="I42" s="69">
        <f t="shared" ref="I42" si="23">I9</f>
        <v>339588</v>
      </c>
      <c r="J42" s="201">
        <f t="shared" ref="J42" si="24">J9</f>
        <v>337150</v>
      </c>
      <c r="L42" s="177" t="s">
        <v>92</v>
      </c>
      <c r="M42" s="752"/>
      <c r="N42" s="752"/>
      <c r="O42" s="76"/>
      <c r="P42" s="76"/>
      <c r="Q42" s="614"/>
      <c r="R42" s="598"/>
      <c r="S42" s="76"/>
      <c r="T42" s="144"/>
      <c r="U42" s="183"/>
    </row>
    <row r="43" spans="1:28">
      <c r="A43" s="197" t="s">
        <v>29</v>
      </c>
      <c r="B43" s="30">
        <f t="shared" ref="B43:C43" si="25">B10</f>
        <v>74900.625500000009</v>
      </c>
      <c r="C43" s="30">
        <f t="shared" si="25"/>
        <v>72967</v>
      </c>
      <c r="D43" s="30">
        <f t="shared" ref="D43" si="26">D10</f>
        <v>72967</v>
      </c>
      <c r="E43" s="30">
        <f>E10</f>
        <v>70741.23</v>
      </c>
      <c r="F43" s="30">
        <f t="shared" ref="F43" si="27">F10</f>
        <v>72967</v>
      </c>
      <c r="G43" s="30">
        <f>G10</f>
        <v>69930</v>
      </c>
      <c r="H43" s="30">
        <f>H10</f>
        <v>69930</v>
      </c>
      <c r="I43" s="69">
        <f t="shared" ref="I43" si="28">I10</f>
        <v>65377</v>
      </c>
      <c r="J43" s="201">
        <f t="shared" ref="J43" si="29">J10</f>
        <v>64900</v>
      </c>
      <c r="L43" s="174" t="s">
        <v>93</v>
      </c>
      <c r="M43" s="692">
        <f>-'Business Contribution Breakdown'!B38</f>
        <v>1675869</v>
      </c>
      <c r="N43" s="692">
        <v>1624924</v>
      </c>
      <c r="O43" s="692">
        <v>1646454</v>
      </c>
      <c r="P43" s="596">
        <v>1635454</v>
      </c>
      <c r="Q43" s="108">
        <v>1488467</v>
      </c>
      <c r="R43" s="596">
        <v>1480086</v>
      </c>
      <c r="S43" s="705">
        <v>1419583</v>
      </c>
      <c r="T43" s="705">
        <v>1604450</v>
      </c>
      <c r="U43" s="179">
        <v>1136256.6261005418</v>
      </c>
    </row>
    <row r="44" spans="1:28">
      <c r="A44" s="197" t="s">
        <v>94</v>
      </c>
      <c r="B44" s="30">
        <f t="shared" ref="B44:C44" si="30">B13</f>
        <v>47456.121499999994</v>
      </c>
      <c r="C44" s="30">
        <f t="shared" si="30"/>
        <v>46231</v>
      </c>
      <c r="D44" s="30">
        <f t="shared" ref="D44" si="31">D13</f>
        <v>46231</v>
      </c>
      <c r="E44" s="30">
        <f>E13</f>
        <v>44903.43</v>
      </c>
      <c r="F44" s="30">
        <f t="shared" ref="F44" si="32">F13</f>
        <v>46231</v>
      </c>
      <c r="G44" s="30">
        <f>G13</f>
        <v>44400</v>
      </c>
      <c r="H44" s="30">
        <f>H13</f>
        <v>44400</v>
      </c>
      <c r="I44" s="69">
        <f t="shared" ref="I44" si="33">I13</f>
        <v>41951</v>
      </c>
      <c r="J44" s="201">
        <f t="shared" ref="J44" si="34">J13</f>
        <v>41250</v>
      </c>
      <c r="L44" s="174" t="s">
        <v>95</v>
      </c>
      <c r="M44" s="511">
        <f>-'Business Contribution Breakdown'!B39</f>
        <v>325520</v>
      </c>
      <c r="N44" s="511">
        <v>313742</v>
      </c>
      <c r="O44" s="511">
        <v>363944</v>
      </c>
      <c r="P44" s="596">
        <v>411965</v>
      </c>
      <c r="Q44" s="108">
        <v>292662</v>
      </c>
      <c r="R44" s="596">
        <v>300151</v>
      </c>
      <c r="S44" s="705">
        <v>296803</v>
      </c>
      <c r="T44" s="705">
        <v>217832</v>
      </c>
      <c r="U44" s="179">
        <v>337284.20165333379</v>
      </c>
    </row>
    <row r="45" spans="1:28" ht="15.95" thickBot="1">
      <c r="A45" s="197" t="s">
        <v>96</v>
      </c>
      <c r="B45" s="30">
        <f t="shared" ref="B45:C45" si="35">B17</f>
        <v>1169700</v>
      </c>
      <c r="C45" s="30">
        <f t="shared" si="35"/>
        <v>1169700</v>
      </c>
      <c r="D45" s="30">
        <f t="shared" ref="D45:F45" si="36">D17</f>
        <v>1169700</v>
      </c>
      <c r="E45" s="30">
        <f>E17</f>
        <v>1179721.8400000001</v>
      </c>
      <c r="F45" s="30">
        <f t="shared" si="36"/>
        <v>1169700</v>
      </c>
      <c r="G45" s="30">
        <f>G17</f>
        <v>1165500</v>
      </c>
      <c r="H45" s="30">
        <f>H17</f>
        <v>1165500</v>
      </c>
      <c r="I45" s="69">
        <f>I17-I46</f>
        <v>1133840</v>
      </c>
      <c r="J45" s="201">
        <f>J17-J46</f>
        <v>1125000</v>
      </c>
      <c r="L45" s="174" t="s">
        <v>97</v>
      </c>
      <c r="M45" s="511">
        <f>-'Business Contribution Breakdown'!B40</f>
        <v>528282</v>
      </c>
      <c r="N45" s="511">
        <v>508333</v>
      </c>
      <c r="O45" s="511">
        <v>532605</v>
      </c>
      <c r="P45" s="596">
        <v>532605</v>
      </c>
      <c r="Q45" s="108">
        <v>453022</v>
      </c>
      <c r="R45" s="596">
        <v>438269</v>
      </c>
      <c r="S45" s="705">
        <v>390991</v>
      </c>
      <c r="T45" s="705">
        <v>445619</v>
      </c>
      <c r="U45" s="179">
        <v>408694.34870000003</v>
      </c>
    </row>
    <row r="46" spans="1:28">
      <c r="A46" s="197" t="s">
        <v>98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69">
        <v>30000</v>
      </c>
      <c r="J46" s="201">
        <v>30000</v>
      </c>
      <c r="L46" s="175" t="s">
        <v>99</v>
      </c>
      <c r="M46" s="597">
        <f>SUM(M43:M45)</f>
        <v>2529671</v>
      </c>
      <c r="N46" s="597">
        <f t="shared" ref="N46:T46" si="37">SUM(N43:N45)</f>
        <v>2446999</v>
      </c>
      <c r="O46" s="597">
        <f t="shared" si="37"/>
        <v>2543003</v>
      </c>
      <c r="P46" s="597">
        <f t="shared" si="37"/>
        <v>2580024</v>
      </c>
      <c r="Q46" s="682">
        <f t="shared" si="37"/>
        <v>2234151</v>
      </c>
      <c r="R46" s="597">
        <f t="shared" si="37"/>
        <v>2218506</v>
      </c>
      <c r="S46" s="78">
        <f t="shared" si="37"/>
        <v>2107377</v>
      </c>
      <c r="T46" s="78">
        <f t="shared" si="37"/>
        <v>2267901</v>
      </c>
      <c r="U46" s="181">
        <v>1882235.17645388</v>
      </c>
    </row>
    <row r="47" spans="1:28">
      <c r="A47" s="197" t="s">
        <v>100</v>
      </c>
      <c r="B47" s="30">
        <f t="shared" ref="B47:C47" si="38">B7</f>
        <v>379648.97199999995</v>
      </c>
      <c r="C47" s="30">
        <f t="shared" si="38"/>
        <v>369848</v>
      </c>
      <c r="D47" s="30">
        <f t="shared" ref="D47" si="39">D7</f>
        <v>369848</v>
      </c>
      <c r="E47" s="30">
        <f>E7</f>
        <v>359314.05</v>
      </c>
      <c r="F47" s="30">
        <f t="shared" ref="F47" si="40">F7</f>
        <v>369848</v>
      </c>
      <c r="G47" s="30">
        <f>G7</f>
        <v>355200</v>
      </c>
      <c r="H47" s="30">
        <f>H7</f>
        <v>355200</v>
      </c>
      <c r="I47" s="69">
        <f t="shared" ref="I47" si="41">I7</f>
        <v>331867</v>
      </c>
      <c r="J47" s="201">
        <f t="shared" ref="J47" si="42">J7</f>
        <v>329450</v>
      </c>
      <c r="L47" s="591" t="s">
        <v>101</v>
      </c>
      <c r="M47" s="753"/>
      <c r="N47" s="753"/>
      <c r="O47" s="620"/>
      <c r="P47" s="620"/>
      <c r="Q47" s="601"/>
      <c r="R47" s="601"/>
      <c r="S47" s="592"/>
      <c r="T47" s="592"/>
      <c r="U47" s="593"/>
    </row>
    <row r="48" spans="1:28" ht="15.95" thickBot="1">
      <c r="A48" s="197" t="s">
        <v>102</v>
      </c>
      <c r="B48" s="30">
        <f t="shared" ref="B48:C48" si="43">B6</f>
        <v>117210.90249999998</v>
      </c>
      <c r="C48" s="30">
        <f t="shared" si="43"/>
        <v>114184.99999999999</v>
      </c>
      <c r="D48" s="30">
        <f t="shared" ref="D48" si="44">D6</f>
        <v>114184.99999999999</v>
      </c>
      <c r="E48" s="30">
        <f>E6</f>
        <v>100322.69</v>
      </c>
      <c r="F48" s="30">
        <f t="shared" ref="F48" si="45">F6</f>
        <v>114184.99999999999</v>
      </c>
      <c r="G48" s="30">
        <f>G6</f>
        <v>109890</v>
      </c>
      <c r="H48" s="30">
        <f>H6</f>
        <v>109890</v>
      </c>
      <c r="I48" s="69">
        <f t="shared" ref="I48" si="46">I6</f>
        <v>101742</v>
      </c>
      <c r="J48" s="201">
        <f t="shared" ref="J48" si="47">J6</f>
        <v>101750</v>
      </c>
      <c r="L48" s="197" t="s">
        <v>103</v>
      </c>
      <c r="M48" s="599">
        <f>B8</f>
        <v>1013731.3665</v>
      </c>
      <c r="N48" s="599">
        <f>C8</f>
        <v>987561</v>
      </c>
      <c r="O48" s="599">
        <f>D8</f>
        <v>987561</v>
      </c>
      <c r="P48" s="599">
        <f>F8</f>
        <v>987561</v>
      </c>
      <c r="Q48" s="599">
        <f>E8</f>
        <v>960137.97</v>
      </c>
      <c r="R48" s="599">
        <v>949050</v>
      </c>
      <c r="S48" s="30">
        <f>H65</f>
        <v>949050</v>
      </c>
      <c r="T48" s="69">
        <v>884300</v>
      </c>
      <c r="U48" s="201">
        <v>880000</v>
      </c>
      <c r="V48" s="56"/>
      <c r="W48" s="56"/>
      <c r="X48" s="62"/>
      <c r="Y48" s="74"/>
      <c r="Z48" s="63"/>
      <c r="AA48" s="63"/>
      <c r="AB48" s="35" t="e">
        <f>SUM(#REF!+#REF!+#REF!+#REF!+#REF!+#REF!+#REF!)</f>
        <v>#REF!</v>
      </c>
    </row>
    <row r="49" spans="1:26" ht="15.95" thickBot="1">
      <c r="A49" s="197" t="s">
        <v>104</v>
      </c>
      <c r="B49" s="30">
        <f t="shared" ref="B49:C49" si="48">B16</f>
        <v>668400</v>
      </c>
      <c r="C49" s="30">
        <f t="shared" si="48"/>
        <v>668400</v>
      </c>
      <c r="D49" s="30">
        <f t="shared" ref="D49:F49" si="49">D16</f>
        <v>668400</v>
      </c>
      <c r="E49" s="30">
        <f>E16</f>
        <v>662130.24</v>
      </c>
      <c r="F49" s="30">
        <f t="shared" si="49"/>
        <v>668400</v>
      </c>
      <c r="G49" s="30">
        <f>G16</f>
        <v>666000</v>
      </c>
      <c r="H49" s="30">
        <f>H16</f>
        <v>666000</v>
      </c>
      <c r="I49" s="69">
        <f t="shared" ref="I49:J49" si="50">I16</f>
        <v>653988</v>
      </c>
      <c r="J49" s="201">
        <f t="shared" si="50"/>
        <v>660000</v>
      </c>
      <c r="K49" s="203"/>
      <c r="L49" s="197" t="s">
        <v>105</v>
      </c>
      <c r="M49" s="599">
        <f>B23</f>
        <v>64608.936499999989</v>
      </c>
      <c r="N49" s="599">
        <f>C23</f>
        <v>62940.999999999993</v>
      </c>
      <c r="O49" s="599">
        <f>D23</f>
        <v>62940.999999999993</v>
      </c>
      <c r="P49" s="599">
        <f>F23</f>
        <v>62940.999999999993</v>
      </c>
      <c r="Q49" s="599">
        <v>60495</v>
      </c>
      <c r="R49" s="599">
        <v>60495</v>
      </c>
      <c r="S49" s="30">
        <v>60495</v>
      </c>
      <c r="T49" s="30">
        <v>56100</v>
      </c>
      <c r="U49" s="201">
        <v>56100</v>
      </c>
      <c r="W49" s="38"/>
      <c r="X49" s="38"/>
      <c r="Y49" s="28"/>
      <c r="Z49" s="28"/>
    </row>
    <row r="50" spans="1:26">
      <c r="A50" s="197" t="s">
        <v>106</v>
      </c>
      <c r="B50" s="30">
        <v>5000</v>
      </c>
      <c r="C50" s="30">
        <v>5000</v>
      </c>
      <c r="D50" s="30">
        <v>5000</v>
      </c>
      <c r="E50" s="30">
        <v>4999</v>
      </c>
      <c r="F50" s="30">
        <v>5000</v>
      </c>
      <c r="G50" s="30">
        <v>5000</v>
      </c>
      <c r="H50" s="30">
        <v>5000</v>
      </c>
      <c r="I50" s="69">
        <v>5000</v>
      </c>
      <c r="J50" s="201">
        <v>5000</v>
      </c>
      <c r="L50" s="205" t="s">
        <v>107</v>
      </c>
      <c r="M50" s="602">
        <f t="shared" ref="M50:R50" si="51">M49+M48</f>
        <v>1078340.3030000001</v>
      </c>
      <c r="N50" s="602">
        <f t="shared" si="51"/>
        <v>1050502</v>
      </c>
      <c r="O50" s="602">
        <f t="shared" si="51"/>
        <v>1050502</v>
      </c>
      <c r="P50" s="602">
        <f t="shared" si="51"/>
        <v>1050502</v>
      </c>
      <c r="Q50" s="602">
        <f t="shared" si="51"/>
        <v>1020632.97</v>
      </c>
      <c r="R50" s="602">
        <f t="shared" si="51"/>
        <v>1009545</v>
      </c>
      <c r="S50" s="206">
        <f>SUM(S48:S49)</f>
        <v>1009545</v>
      </c>
      <c r="T50" s="206">
        <f>SUM(T48:T49)</f>
        <v>940400</v>
      </c>
      <c r="U50" s="215">
        <f>SUM(U48:U49)</f>
        <v>936100</v>
      </c>
      <c r="W50" s="38"/>
      <c r="X50" s="38"/>
      <c r="Y50" s="28"/>
      <c r="Z50" s="28"/>
    </row>
    <row r="51" spans="1:26" ht="15.95" thickBot="1">
      <c r="A51" s="197" t="s">
        <v>38</v>
      </c>
      <c r="B51" s="30">
        <f t="shared" ref="B51:C51" si="52">B15</f>
        <v>55700</v>
      </c>
      <c r="C51" s="30">
        <f t="shared" si="52"/>
        <v>55700</v>
      </c>
      <c r="D51" s="30">
        <f t="shared" ref="D51:F51" si="53">D15</f>
        <v>55700</v>
      </c>
      <c r="E51" s="30">
        <f>E15</f>
        <v>56680.67</v>
      </c>
      <c r="F51" s="30">
        <f t="shared" si="53"/>
        <v>55700</v>
      </c>
      <c r="G51" s="30">
        <f>G15</f>
        <v>55500</v>
      </c>
      <c r="H51" s="30">
        <f>H15</f>
        <v>55500</v>
      </c>
      <c r="I51" s="69">
        <f t="shared" ref="I51:J51" si="54">I15</f>
        <v>55874</v>
      </c>
      <c r="J51" s="201">
        <f t="shared" si="54"/>
        <v>55000</v>
      </c>
      <c r="L51" s="184" t="s">
        <v>108</v>
      </c>
      <c r="M51" s="603">
        <f t="shared" ref="M51:R51" si="55">M46+M41+M35+M29+M16+M10+M50</f>
        <v>6468117.5870000003</v>
      </c>
      <c r="N51" s="603">
        <f t="shared" si="55"/>
        <v>6044249.3799999999</v>
      </c>
      <c r="O51" s="603">
        <f t="shared" si="55"/>
        <v>6201831.3899999987</v>
      </c>
      <c r="P51" s="603">
        <f t="shared" si="55"/>
        <v>6092159.3121999996</v>
      </c>
      <c r="Q51" s="603">
        <f t="shared" si="55"/>
        <v>5843569.9699999997</v>
      </c>
      <c r="R51" s="603">
        <f t="shared" si="55"/>
        <v>5960620.46</v>
      </c>
      <c r="S51" s="185">
        <f>SUM(S46,S41,S35,S29,S16,S10,S50)</f>
        <v>5844970.2999999998</v>
      </c>
      <c r="T51" s="185">
        <f>SUM(T46,T41,T35,T29,T16,T10,T50)</f>
        <v>6304303</v>
      </c>
      <c r="U51" s="589">
        <f>SUM(U46,U41,U35,U29,U16,U10,U50)</f>
        <v>5450520.8774538804</v>
      </c>
      <c r="W51" s="38"/>
      <c r="X51" s="38"/>
      <c r="Y51" s="28"/>
      <c r="Z51" s="28"/>
    </row>
    <row r="52" spans="1:26">
      <c r="A52" s="197" t="s">
        <v>109</v>
      </c>
      <c r="B52" s="30">
        <f t="shared" ref="B52:C52" si="56">B21</f>
        <v>5570000</v>
      </c>
      <c r="C52" s="30">
        <f t="shared" si="56"/>
        <v>5570000</v>
      </c>
      <c r="D52" s="30">
        <f t="shared" ref="D52:F52" si="57">D21</f>
        <v>5570000</v>
      </c>
      <c r="E52" s="30">
        <f>E21</f>
        <v>5450737</v>
      </c>
      <c r="F52" s="30">
        <f t="shared" si="57"/>
        <v>5570000</v>
      </c>
      <c r="G52" s="30">
        <f>G21</f>
        <v>5550000</v>
      </c>
      <c r="H52" s="30">
        <f>H21</f>
        <v>5550000</v>
      </c>
      <c r="I52" s="69">
        <f t="shared" ref="I52:J52" si="58">I21</f>
        <v>5500000</v>
      </c>
      <c r="J52" s="201">
        <f t="shared" si="58"/>
        <v>5500000</v>
      </c>
      <c r="L52" s="50"/>
      <c r="M52" s="50"/>
      <c r="N52" s="50"/>
      <c r="O52" s="50"/>
      <c r="P52" s="50"/>
      <c r="Q52" s="604"/>
      <c r="R52" s="50"/>
      <c r="S52" s="50"/>
      <c r="T52" s="50"/>
      <c r="V52" s="38"/>
      <c r="W52" s="38"/>
      <c r="X52" s="28"/>
      <c r="Y52" s="28"/>
    </row>
    <row r="53" spans="1:26">
      <c r="A53" s="197" t="s">
        <v>31</v>
      </c>
      <c r="B53" s="30">
        <f t="shared" ref="B53:C53" si="59">B11</f>
        <v>94912.242999999988</v>
      </c>
      <c r="C53" s="30">
        <f t="shared" si="59"/>
        <v>92462</v>
      </c>
      <c r="D53" s="30">
        <f t="shared" ref="D53" si="60">D11</f>
        <v>92462</v>
      </c>
      <c r="E53" s="30">
        <f>E11</f>
        <v>89811.26</v>
      </c>
      <c r="F53" s="30">
        <f t="shared" ref="F53" si="61">F11</f>
        <v>92462</v>
      </c>
      <c r="G53" s="30">
        <f>G11</f>
        <v>88800</v>
      </c>
      <c r="H53" s="30">
        <f>H11</f>
        <v>88800</v>
      </c>
      <c r="I53" s="69">
        <f t="shared" ref="I53:J53" si="62">I11</f>
        <v>83563</v>
      </c>
      <c r="J53" s="201">
        <f t="shared" si="62"/>
        <v>82500</v>
      </c>
      <c r="L53" s="706" t="s">
        <v>110</v>
      </c>
      <c r="M53" s="707"/>
      <c r="N53" s="707"/>
      <c r="O53" s="707"/>
      <c r="R53" s="66"/>
      <c r="U53" s="36"/>
      <c r="V53" s="36"/>
      <c r="W53" s="29"/>
      <c r="X53" s="26"/>
    </row>
    <row r="54" spans="1:26">
      <c r="A54" s="197" t="s">
        <v>111</v>
      </c>
      <c r="B54" s="30">
        <f t="shared" ref="B54:C54" si="63">B12</f>
        <v>19439.857</v>
      </c>
      <c r="C54" s="30">
        <f t="shared" si="63"/>
        <v>18938</v>
      </c>
      <c r="D54" s="30">
        <f t="shared" ref="D54" si="64">D12</f>
        <v>18938</v>
      </c>
      <c r="E54" s="30">
        <f>E12</f>
        <v>18532.97</v>
      </c>
      <c r="F54" s="30">
        <f t="shared" ref="F54" si="65">F12</f>
        <v>18938</v>
      </c>
      <c r="G54" s="30">
        <f>G12</f>
        <v>18315</v>
      </c>
      <c r="H54" s="30">
        <f>H12</f>
        <v>18315</v>
      </c>
      <c r="I54" s="69">
        <f t="shared" ref="I54:J54" si="66">I12</f>
        <v>17176</v>
      </c>
      <c r="J54" s="201">
        <f t="shared" si="66"/>
        <v>17050</v>
      </c>
      <c r="L54" s="161"/>
      <c r="M54" s="165" t="s">
        <v>112</v>
      </c>
      <c r="N54" s="170" t="s">
        <v>113</v>
      </c>
      <c r="O54" s="164" t="s">
        <v>114</v>
      </c>
      <c r="U54" s="38"/>
      <c r="V54" s="38"/>
      <c r="W54" s="28"/>
      <c r="X54" s="28"/>
    </row>
    <row r="55" spans="1:26">
      <c r="A55" s="197" t="s">
        <v>115</v>
      </c>
      <c r="B55" s="30">
        <f t="shared" ref="B55:C55" si="67">B22</f>
        <v>25729.2225</v>
      </c>
      <c r="C55" s="30">
        <f t="shared" si="67"/>
        <v>25065</v>
      </c>
      <c r="D55" s="30">
        <f t="shared" ref="D55" si="68">D22</f>
        <v>25065</v>
      </c>
      <c r="E55" s="30">
        <f>E22</f>
        <v>24139.18</v>
      </c>
      <c r="F55" s="30">
        <f t="shared" ref="F55" si="69">F22</f>
        <v>25065</v>
      </c>
      <c r="G55" s="30">
        <f>G22</f>
        <v>23865</v>
      </c>
      <c r="H55" s="30">
        <f>H22</f>
        <v>23865</v>
      </c>
      <c r="I55" s="69">
        <f t="shared" ref="I55:J55" si="70">I22</f>
        <v>22170</v>
      </c>
      <c r="J55" s="201">
        <f t="shared" si="70"/>
        <v>22000</v>
      </c>
      <c r="L55" s="162" t="s">
        <v>3</v>
      </c>
      <c r="M55" s="166">
        <f>B72</f>
        <v>6479100.563500002</v>
      </c>
      <c r="N55" s="166">
        <f>M51</f>
        <v>6468117.5870000003</v>
      </c>
      <c r="O55" s="168">
        <f t="shared" ref="O55" si="71">M55-N55</f>
        <v>10982.976500001736</v>
      </c>
      <c r="U55" s="38"/>
      <c r="V55" s="38"/>
      <c r="W55" s="28"/>
      <c r="X55" s="28"/>
    </row>
    <row r="56" spans="1:26">
      <c r="A56" s="197" t="s">
        <v>56</v>
      </c>
      <c r="B56" s="30">
        <f t="shared" ref="B56:C56" si="72">B24</f>
        <v>64608.936499999989</v>
      </c>
      <c r="C56" s="30">
        <f t="shared" si="72"/>
        <v>62940.999999999993</v>
      </c>
      <c r="D56" s="30">
        <f t="shared" ref="D56" si="73">D24</f>
        <v>62940.999999999993</v>
      </c>
      <c r="E56" s="30">
        <f>E24</f>
        <v>55081.53</v>
      </c>
      <c r="F56" s="30">
        <f t="shared" ref="F56" si="74">F24</f>
        <v>62940.999999999993</v>
      </c>
      <c r="G56" s="30">
        <f>G24</f>
        <v>60495</v>
      </c>
      <c r="H56" s="30">
        <f>H24</f>
        <v>60495</v>
      </c>
      <c r="I56" s="69">
        <f t="shared" ref="I56:J56" si="75">I24</f>
        <v>56077</v>
      </c>
      <c r="J56" s="201">
        <f t="shared" si="75"/>
        <v>56100</v>
      </c>
      <c r="L56" s="162" t="s">
        <v>4</v>
      </c>
      <c r="M56" s="166">
        <f>C72</f>
        <v>6307591</v>
      </c>
      <c r="N56" s="166">
        <f>N51</f>
        <v>6044249.3799999999</v>
      </c>
      <c r="O56" s="168">
        <f t="shared" ref="O56" si="76">M56-N56</f>
        <v>263341.62000000011</v>
      </c>
      <c r="U56" s="38"/>
      <c r="V56" s="38"/>
      <c r="W56" s="28"/>
      <c r="X56" s="28"/>
    </row>
    <row r="57" spans="1:26">
      <c r="A57" s="197" t="s">
        <v>116</v>
      </c>
      <c r="B57" s="30">
        <f t="shared" ref="B57:C57" si="77">B18</f>
        <v>197829.133</v>
      </c>
      <c r="C57" s="30">
        <f t="shared" si="77"/>
        <v>192722</v>
      </c>
      <c r="D57" s="30">
        <f t="shared" ref="D57:F57" si="78">D18</f>
        <v>192722</v>
      </c>
      <c r="E57" s="30">
        <f>E18</f>
        <v>161383.44</v>
      </c>
      <c r="F57" s="30">
        <f t="shared" si="78"/>
        <v>192722</v>
      </c>
      <c r="G57" s="30">
        <f>G18</f>
        <v>172050</v>
      </c>
      <c r="H57" s="30">
        <f>H18</f>
        <v>172050</v>
      </c>
      <c r="I57" s="69">
        <f t="shared" ref="I57:J57" si="79">I18</f>
        <v>164807</v>
      </c>
      <c r="J57" s="201">
        <f t="shared" si="79"/>
        <v>165000</v>
      </c>
      <c r="L57" s="162" t="s">
        <v>117</v>
      </c>
      <c r="M57" s="166">
        <f>D72</f>
        <v>6248953</v>
      </c>
      <c r="N57" s="166">
        <f>O51</f>
        <v>6201831.3899999987</v>
      </c>
      <c r="O57" s="168">
        <f t="shared" ref="O57:O63" si="80">M57-N57</f>
        <v>47121.610000001267</v>
      </c>
      <c r="U57" s="38"/>
      <c r="W57" s="28"/>
      <c r="X57" s="28"/>
    </row>
    <row r="58" spans="1:26">
      <c r="A58" s="197" t="s">
        <v>118</v>
      </c>
      <c r="B58" s="30">
        <f t="shared" ref="B58:C58" si="81">B14</f>
        <v>247000.53599999999</v>
      </c>
      <c r="C58" s="30">
        <f t="shared" si="81"/>
        <v>240624.00000000003</v>
      </c>
      <c r="D58" s="30">
        <f t="shared" ref="D58" si="82">D14</f>
        <v>240624.00000000003</v>
      </c>
      <c r="E58" s="30">
        <f>E14</f>
        <v>203053.78</v>
      </c>
      <c r="F58" s="30">
        <f t="shared" ref="F58" si="83">F14</f>
        <v>240624.00000000003</v>
      </c>
      <c r="G58" s="30">
        <f>G14</f>
        <v>231435</v>
      </c>
      <c r="H58" s="30">
        <f>H14</f>
        <v>231435</v>
      </c>
      <c r="I58" s="69">
        <f t="shared" ref="I58:J58" si="84">I14</f>
        <v>63853</v>
      </c>
      <c r="J58" s="201">
        <f t="shared" si="84"/>
        <v>64349.999999999993</v>
      </c>
      <c r="L58" s="162" t="s">
        <v>119</v>
      </c>
      <c r="M58" s="166">
        <f>F72</f>
        <v>6093598</v>
      </c>
      <c r="N58" s="166">
        <f>P51</f>
        <v>6092159.3121999996</v>
      </c>
      <c r="O58" s="168">
        <f t="shared" si="80"/>
        <v>1438.6878000004217</v>
      </c>
      <c r="U58" s="108"/>
      <c r="V58" s="53"/>
      <c r="W58" s="38"/>
      <c r="X58" s="28"/>
      <c r="Y58" s="28"/>
    </row>
    <row r="59" spans="1:26">
      <c r="A59" s="197" t="s">
        <v>120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5000</v>
      </c>
      <c r="H59" s="30">
        <v>5000</v>
      </c>
      <c r="I59" s="69">
        <v>5000</v>
      </c>
      <c r="J59" s="201">
        <v>5000</v>
      </c>
      <c r="L59" s="162" t="s">
        <v>6</v>
      </c>
      <c r="M59" s="166">
        <f>E72</f>
        <v>5756305.5899999961</v>
      </c>
      <c r="N59" s="166">
        <f>Q51</f>
        <v>5843569.9699999997</v>
      </c>
      <c r="O59" s="168">
        <f t="shared" si="80"/>
        <v>-87264.380000003614</v>
      </c>
      <c r="U59" s="108"/>
      <c r="V59" s="58"/>
      <c r="W59" s="53"/>
      <c r="X59" s="38"/>
      <c r="Y59" s="28"/>
      <c r="Z59" s="28"/>
    </row>
    <row r="60" spans="1:26">
      <c r="A60" s="197" t="s">
        <v>121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5000</v>
      </c>
      <c r="H60" s="30">
        <v>5000</v>
      </c>
      <c r="I60" s="224">
        <v>5000</v>
      </c>
      <c r="J60" s="225">
        <v>5000</v>
      </c>
      <c r="L60" s="162" t="s">
        <v>8</v>
      </c>
      <c r="M60" s="166">
        <v>5403669</v>
      </c>
      <c r="N60" s="166">
        <v>5960620.46</v>
      </c>
      <c r="O60" s="168">
        <f t="shared" si="80"/>
        <v>-556951.46</v>
      </c>
      <c r="U60" s="108"/>
      <c r="V60" s="59"/>
      <c r="W60" s="53"/>
      <c r="X60" s="38"/>
      <c r="Y60" s="28"/>
      <c r="Z60" s="28"/>
    </row>
    <row r="61" spans="1:26">
      <c r="A61" s="197" t="s">
        <v>122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5000</v>
      </c>
      <c r="H61" s="30">
        <v>5000</v>
      </c>
      <c r="I61" s="69">
        <v>5000</v>
      </c>
      <c r="J61" s="201">
        <v>5000</v>
      </c>
      <c r="L61" s="162" t="s">
        <v>123</v>
      </c>
      <c r="M61" s="166">
        <f>H72</f>
        <v>5097654</v>
      </c>
      <c r="N61" s="166">
        <f>S51</f>
        <v>5844970.2999999998</v>
      </c>
      <c r="O61" s="168">
        <f t="shared" si="80"/>
        <v>-747316.29999999981</v>
      </c>
      <c r="R61" s="67"/>
      <c r="S61" s="64"/>
      <c r="T61" s="64"/>
      <c r="U61" s="39"/>
      <c r="V61" s="59"/>
      <c r="W61" s="53"/>
      <c r="X61" s="38"/>
      <c r="Y61" s="28"/>
      <c r="Z61" s="28"/>
    </row>
    <row r="62" spans="1:26">
      <c r="A62" s="195" t="s">
        <v>124</v>
      </c>
      <c r="B62" s="30">
        <f t="shared" ref="B62:C62" si="85">B25</f>
        <v>1114000</v>
      </c>
      <c r="C62" s="30">
        <f t="shared" si="85"/>
        <v>835500</v>
      </c>
      <c r="D62" s="30">
        <f t="shared" ref="D62" si="86">D25</f>
        <v>835500</v>
      </c>
      <c r="E62" s="30">
        <f>E25</f>
        <v>555000</v>
      </c>
      <c r="F62" s="30">
        <f t="shared" ref="F62" si="87">F25</f>
        <v>835500</v>
      </c>
      <c r="G62" s="30">
        <f>G25</f>
        <v>555000</v>
      </c>
      <c r="H62" s="30">
        <f>H25</f>
        <v>555000</v>
      </c>
      <c r="I62" s="69">
        <f>I25</f>
        <v>275000</v>
      </c>
      <c r="J62" s="201">
        <f>J25</f>
        <v>275000</v>
      </c>
      <c r="L62" s="162" t="s">
        <v>125</v>
      </c>
      <c r="M62" s="166">
        <f>I72</f>
        <v>5447471</v>
      </c>
      <c r="N62" s="166">
        <f>T51</f>
        <v>6304303</v>
      </c>
      <c r="O62" s="168">
        <f t="shared" si="80"/>
        <v>-856832</v>
      </c>
      <c r="Q62" s="605"/>
      <c r="R62" s="64"/>
      <c r="S62" s="57"/>
      <c r="T62" s="57"/>
      <c r="U62" s="65"/>
      <c r="V62" s="59"/>
      <c r="W62" s="55"/>
      <c r="X62" s="38"/>
      <c r="Y62" s="28"/>
      <c r="Z62" s="28"/>
    </row>
    <row r="63" spans="1:26">
      <c r="A63" s="205" t="s">
        <v>126</v>
      </c>
      <c r="B63" s="673">
        <f t="shared" ref="B63:H63" si="88">SUM(B36:B62)</f>
        <v>28168324.179100007</v>
      </c>
      <c r="C63" s="673">
        <f t="shared" si="88"/>
        <v>27015796</v>
      </c>
      <c r="D63" s="673">
        <f t="shared" si="88"/>
        <v>27015796</v>
      </c>
      <c r="E63" s="673">
        <f t="shared" si="88"/>
        <v>25376108.330000006</v>
      </c>
      <c r="F63" s="673">
        <f t="shared" si="88"/>
        <v>27393999</v>
      </c>
      <c r="G63" s="206">
        <f t="shared" si="88"/>
        <v>24637075</v>
      </c>
      <c r="H63" s="206">
        <f t="shared" si="88"/>
        <v>24637075</v>
      </c>
      <c r="I63" s="207">
        <f>SUM(I37:I62)</f>
        <v>21400396</v>
      </c>
      <c r="J63" s="208">
        <f>SUM(J37:J62)</f>
        <v>21395700</v>
      </c>
      <c r="L63" s="163" t="s">
        <v>14</v>
      </c>
      <c r="M63" s="167">
        <f>J72</f>
        <v>4913771.3900000006</v>
      </c>
      <c r="N63" s="167">
        <f>U51</f>
        <v>5450520.8774538804</v>
      </c>
      <c r="O63" s="169">
        <f t="shared" si="80"/>
        <v>-536749.48745387979</v>
      </c>
      <c r="Q63" s="606"/>
      <c r="R63" s="57"/>
      <c r="S63" s="57"/>
      <c r="T63" s="57"/>
      <c r="U63" s="59"/>
      <c r="V63" s="60"/>
      <c r="W63" s="54"/>
      <c r="X63" s="55"/>
      <c r="Y63" s="28"/>
      <c r="Z63" s="28"/>
    </row>
    <row r="64" spans="1:26">
      <c r="A64" s="237" t="s">
        <v>101</v>
      </c>
      <c r="B64" s="238"/>
      <c r="C64" s="238"/>
      <c r="D64" s="238"/>
      <c r="E64" s="238"/>
      <c r="F64" s="238"/>
      <c r="G64" s="238"/>
      <c r="H64" s="238"/>
      <c r="I64" s="238"/>
      <c r="J64" s="239"/>
      <c r="L64" s="67"/>
      <c r="M64" s="67"/>
      <c r="N64" s="67"/>
      <c r="O64" s="67"/>
      <c r="P64" s="67"/>
      <c r="Q64" s="607"/>
      <c r="R64" s="57"/>
      <c r="S64" s="57"/>
      <c r="T64" s="57"/>
      <c r="U64" s="59"/>
      <c r="V64" s="60"/>
      <c r="W64" s="74"/>
      <c r="X64" s="74"/>
      <c r="Y64" s="26"/>
      <c r="Z64" s="26"/>
    </row>
    <row r="65" spans="1:26">
      <c r="A65" s="197" t="s">
        <v>103</v>
      </c>
      <c r="B65" s="30">
        <f t="shared" ref="B65:C65" si="89">B8</f>
        <v>1013731.3665</v>
      </c>
      <c r="C65" s="30">
        <f t="shared" si="89"/>
        <v>987561</v>
      </c>
      <c r="D65" s="30">
        <f t="shared" ref="D65" si="90">D8</f>
        <v>987561</v>
      </c>
      <c r="E65" s="30">
        <v>960137.97</v>
      </c>
      <c r="F65" s="30">
        <f t="shared" ref="F65" si="91">F8</f>
        <v>987561</v>
      </c>
      <c r="G65" s="30">
        <f>G8</f>
        <v>949050</v>
      </c>
      <c r="H65" s="30">
        <f>H8</f>
        <v>949050</v>
      </c>
      <c r="I65" s="69">
        <v>884300</v>
      </c>
      <c r="J65" s="201">
        <v>880000</v>
      </c>
      <c r="L65" s="64"/>
      <c r="M65" s="64"/>
      <c r="N65" s="64"/>
      <c r="O65" s="64"/>
      <c r="P65" s="64"/>
      <c r="Q65" s="607"/>
      <c r="R65" s="67"/>
      <c r="S65" s="67"/>
      <c r="T65" s="67"/>
      <c r="U65" s="59"/>
      <c r="V65" s="72"/>
      <c r="W65" s="28"/>
      <c r="X65" s="74"/>
      <c r="Y65" s="26"/>
      <c r="Z65" s="26"/>
    </row>
    <row r="66" spans="1:26">
      <c r="A66" s="197" t="s">
        <v>127</v>
      </c>
      <c r="B66" s="68"/>
      <c r="C66" s="68"/>
      <c r="D66" s="68"/>
      <c r="E66" s="68"/>
      <c r="F66" s="68"/>
      <c r="G66" s="68"/>
      <c r="H66" s="68"/>
      <c r="I66" s="68"/>
      <c r="J66" s="221"/>
      <c r="L66" s="57"/>
      <c r="M66" s="57"/>
      <c r="N66" s="57"/>
      <c r="O66" s="57"/>
      <c r="P66" s="57"/>
      <c r="Q66" s="605"/>
      <c r="R66" s="77"/>
      <c r="S66" s="77"/>
      <c r="T66" s="77"/>
      <c r="U66" s="60"/>
      <c r="V66" s="37"/>
      <c r="W66" s="26"/>
      <c r="X66" s="28"/>
      <c r="Y66" s="28"/>
      <c r="Z66" s="28"/>
    </row>
    <row r="67" spans="1:26" ht="15.95" thickBot="1">
      <c r="A67" s="197" t="s">
        <v>105</v>
      </c>
      <c r="B67" s="30">
        <f>B23</f>
        <v>64608.936499999989</v>
      </c>
      <c r="C67" s="30">
        <f>C23</f>
        <v>62940.999999999993</v>
      </c>
      <c r="D67" s="30">
        <f>D23</f>
        <v>62940.999999999993</v>
      </c>
      <c r="E67" s="30">
        <f>E23</f>
        <v>61194.89</v>
      </c>
      <c r="F67" s="30">
        <f>F23</f>
        <v>62940.999999999993</v>
      </c>
      <c r="G67" s="30">
        <v>60495</v>
      </c>
      <c r="H67" s="30">
        <v>60495</v>
      </c>
      <c r="I67" s="30">
        <v>56100</v>
      </c>
      <c r="J67" s="201">
        <v>56100</v>
      </c>
      <c r="L67" s="57"/>
      <c r="M67" s="57"/>
      <c r="N67" s="57"/>
      <c r="O67" s="57"/>
      <c r="P67" s="57"/>
      <c r="Q67" s="608"/>
      <c r="R67" s="27"/>
      <c r="S67" s="27"/>
      <c r="T67" s="27"/>
      <c r="U67" s="60"/>
      <c r="V67" s="29"/>
      <c r="W67" s="26"/>
      <c r="X67" s="26"/>
      <c r="Y67" s="29"/>
      <c r="Z67" s="26"/>
    </row>
    <row r="68" spans="1:26" ht="15.95" thickBot="1">
      <c r="A68" s="205" t="s">
        <v>128</v>
      </c>
      <c r="B68" s="206">
        <f t="shared" ref="B68:C68" si="92">SUM(B65:B67)</f>
        <v>1078340.3030000001</v>
      </c>
      <c r="C68" s="206">
        <f t="shared" si="92"/>
        <v>1050502</v>
      </c>
      <c r="D68" s="206">
        <f t="shared" ref="D68" si="93">SUM(D65:D67)</f>
        <v>1050502</v>
      </c>
      <c r="E68" s="206">
        <f>SUM(E65:E67)</f>
        <v>1021332.86</v>
      </c>
      <c r="F68" s="206">
        <f t="shared" ref="F68" si="94">SUM(F65:F67)</f>
        <v>1050502</v>
      </c>
      <c r="G68" s="206">
        <f>SUM(G65:G67)</f>
        <v>1009545</v>
      </c>
      <c r="H68" s="206">
        <f>SUM(H65:H67)</f>
        <v>1009545</v>
      </c>
      <c r="I68" s="206">
        <f>SUM(I65:I67)</f>
        <v>940400</v>
      </c>
      <c r="J68" s="215">
        <f t="shared" ref="J68" si="95">SUM(J65:J67)</f>
        <v>936100</v>
      </c>
      <c r="L68" s="80"/>
      <c r="M68" s="67"/>
      <c r="N68" s="67"/>
      <c r="O68" s="67"/>
      <c r="P68" s="67"/>
      <c r="Q68" s="609"/>
      <c r="R68" s="27"/>
      <c r="S68" s="27"/>
      <c r="T68" s="27"/>
      <c r="U68" s="81"/>
      <c r="V68" s="26"/>
      <c r="W68" s="26"/>
      <c r="X68" s="26"/>
      <c r="Y68" s="26"/>
      <c r="Z68" s="26"/>
    </row>
    <row r="69" spans="1:26" ht="15.95" thickBot="1">
      <c r="A69" s="212"/>
      <c r="B69" s="213"/>
      <c r="C69" s="213"/>
      <c r="D69" s="213"/>
      <c r="E69" s="213"/>
      <c r="F69" s="213"/>
      <c r="G69" s="213"/>
      <c r="H69" s="213"/>
      <c r="I69" s="213"/>
      <c r="J69" s="214"/>
      <c r="L69" s="51"/>
      <c r="M69" s="77"/>
      <c r="N69" s="77"/>
      <c r="O69" s="77"/>
      <c r="P69" s="77"/>
      <c r="Q69" s="609"/>
      <c r="R69" s="27"/>
      <c r="S69" s="27"/>
      <c r="T69" s="27"/>
      <c r="U69" s="52"/>
      <c r="V69" s="26"/>
      <c r="W69" s="26"/>
      <c r="X69" s="26"/>
      <c r="Y69" s="26"/>
      <c r="Z69" s="26"/>
    </row>
    <row r="70" spans="1:26" ht="15.95" thickBot="1">
      <c r="A70" s="209" t="s">
        <v>129</v>
      </c>
      <c r="B70" s="210">
        <f t="shared" ref="B70:J70" si="96">B27+B35-B63-B68</f>
        <v>5400760.2605000017</v>
      </c>
      <c r="C70" s="210">
        <f t="shared" si="96"/>
        <v>5257089</v>
      </c>
      <c r="D70" s="210">
        <f t="shared" si="96"/>
        <v>5198451</v>
      </c>
      <c r="E70" s="210">
        <f t="shared" si="96"/>
        <v>4734972.7299999958</v>
      </c>
      <c r="F70" s="210">
        <f t="shared" si="96"/>
        <v>5043096</v>
      </c>
      <c r="G70" s="210">
        <f t="shared" si="96"/>
        <v>4462907</v>
      </c>
      <c r="H70" s="210">
        <f t="shared" si="96"/>
        <v>4088109</v>
      </c>
      <c r="I70" s="210">
        <f t="shared" si="96"/>
        <v>4507071</v>
      </c>
      <c r="J70" s="211">
        <f t="shared" si="96"/>
        <v>3977671.3900000006</v>
      </c>
      <c r="L70" s="27"/>
      <c r="M70" s="27"/>
      <c r="N70" s="27"/>
      <c r="O70" s="27"/>
      <c r="P70" s="27"/>
      <c r="Q70" s="609"/>
      <c r="R70" s="29"/>
      <c r="S70" s="29"/>
      <c r="T70" s="29"/>
      <c r="U70" s="29"/>
      <c r="V70" s="29"/>
      <c r="W70" s="26"/>
      <c r="X70" s="26"/>
      <c r="Y70" s="29"/>
      <c r="Z70" s="26"/>
    </row>
    <row r="71" spans="1:26" ht="15.95" thickBot="1">
      <c r="A71" s="195"/>
      <c r="I71" s="69"/>
      <c r="J71" s="201"/>
      <c r="L71" s="27"/>
      <c r="M71" s="27"/>
      <c r="N71" s="27"/>
      <c r="O71" s="27" t="s">
        <v>130</v>
      </c>
      <c r="P71" s="27"/>
      <c r="Q71" s="609"/>
      <c r="R71" s="29"/>
      <c r="S71" s="29"/>
      <c r="T71" s="29"/>
      <c r="U71" s="26"/>
      <c r="V71" s="29"/>
      <c r="W71" s="26"/>
      <c r="X71" s="26"/>
      <c r="Y71" s="29"/>
      <c r="Z71" s="26"/>
    </row>
    <row r="72" spans="1:26" ht="15.95" thickBot="1">
      <c r="A72" s="209" t="s">
        <v>131</v>
      </c>
      <c r="B72" s="210">
        <f t="shared" ref="B72:C72" si="97">B68+B70</f>
        <v>6479100.563500002</v>
      </c>
      <c r="C72" s="210">
        <f t="shared" si="97"/>
        <v>6307591</v>
      </c>
      <c r="D72" s="210">
        <f t="shared" ref="D72" si="98">D68+D70</f>
        <v>6248953</v>
      </c>
      <c r="E72" s="210">
        <f>E68+E70</f>
        <v>5756305.5899999961</v>
      </c>
      <c r="F72" s="210">
        <f t="shared" ref="F72" si="99">F68+F70</f>
        <v>6093598</v>
      </c>
      <c r="G72" s="210">
        <f>G68+G70</f>
        <v>5472452</v>
      </c>
      <c r="H72" s="210">
        <f>H68+H70</f>
        <v>5097654</v>
      </c>
      <c r="I72" s="210">
        <f>I68+I70</f>
        <v>5447471</v>
      </c>
      <c r="J72" s="211">
        <f>J68+J70</f>
        <v>4913771.3900000006</v>
      </c>
      <c r="L72" s="27"/>
      <c r="M72" s="27"/>
      <c r="N72" s="27"/>
      <c r="O72" s="27"/>
      <c r="P72" s="27"/>
      <c r="Q72" s="609"/>
      <c r="R72" s="29"/>
      <c r="S72" s="29"/>
      <c r="T72" s="29"/>
      <c r="U72" s="26"/>
      <c r="V72" s="29"/>
      <c r="W72" s="26"/>
      <c r="X72" s="26"/>
      <c r="Y72" s="29"/>
      <c r="Z72" s="26"/>
    </row>
    <row r="73" spans="1:26">
      <c r="H73" s="30"/>
      <c r="L73" s="29"/>
      <c r="M73" s="29"/>
      <c r="N73" s="29"/>
      <c r="O73" s="29"/>
      <c r="P73" s="29"/>
      <c r="Q73" s="609"/>
      <c r="R73" s="29"/>
      <c r="S73" s="29"/>
      <c r="T73" s="29"/>
      <c r="U73" s="29"/>
      <c r="V73" s="29"/>
      <c r="W73" s="26"/>
      <c r="X73" s="26"/>
      <c r="Y73" s="29"/>
      <c r="Z73" s="26"/>
    </row>
    <row r="74" spans="1:26">
      <c r="L74" s="29"/>
      <c r="M74" s="29"/>
      <c r="N74" s="29"/>
      <c r="O74" s="29"/>
      <c r="P74" s="29"/>
      <c r="Q74" s="609"/>
      <c r="R74" s="29"/>
      <c r="S74" s="29"/>
      <c r="T74" s="29"/>
      <c r="U74" s="29"/>
      <c r="V74" s="29"/>
      <c r="W74" s="26"/>
      <c r="X74" s="26"/>
      <c r="Y74" s="29"/>
      <c r="Z74" s="26"/>
    </row>
    <row r="75" spans="1:26">
      <c r="L75" s="29"/>
      <c r="M75" s="29"/>
      <c r="N75" s="29"/>
      <c r="O75" s="29"/>
      <c r="P75" s="29"/>
      <c r="Q75" s="609"/>
      <c r="R75" s="29"/>
      <c r="S75" s="29"/>
      <c r="T75" s="29"/>
      <c r="U75" s="29"/>
      <c r="V75" s="29"/>
      <c r="W75" s="26"/>
      <c r="X75" s="26"/>
      <c r="Y75" s="29"/>
      <c r="Z75" s="26"/>
    </row>
    <row r="76" spans="1:26">
      <c r="L76" s="29"/>
      <c r="M76" s="29"/>
      <c r="N76" s="29"/>
      <c r="O76" s="29"/>
      <c r="P76" s="29"/>
      <c r="Q76" s="609"/>
      <c r="R76" s="29"/>
      <c r="S76" s="29"/>
      <c r="T76" s="29"/>
      <c r="U76" s="29"/>
      <c r="V76" s="29"/>
      <c r="W76" s="26"/>
      <c r="X76" s="26"/>
      <c r="Y76" s="29"/>
      <c r="Z76" s="26"/>
    </row>
    <row r="77" spans="1:26">
      <c r="L77" s="29"/>
      <c r="M77" s="29"/>
      <c r="N77" s="29"/>
      <c r="O77" s="29"/>
      <c r="P77" s="29"/>
      <c r="Q77" s="609"/>
      <c r="R77" s="29"/>
      <c r="S77" s="29"/>
      <c r="T77" s="29"/>
      <c r="U77" s="29"/>
      <c r="V77" s="29"/>
      <c r="W77" s="109"/>
      <c r="X77" s="26"/>
      <c r="Y77" s="29"/>
      <c r="Z77" s="26"/>
    </row>
    <row r="78" spans="1:26">
      <c r="G78" s="108"/>
      <c r="L78" s="29"/>
      <c r="M78" s="29"/>
      <c r="N78" s="29"/>
      <c r="O78" s="29"/>
      <c r="P78" s="29"/>
      <c r="Q78" s="609"/>
      <c r="R78" s="109"/>
      <c r="S78" s="109"/>
      <c r="T78" s="109"/>
      <c r="U78" s="29"/>
      <c r="V78" s="109"/>
      <c r="W78" s="66"/>
      <c r="X78" s="109"/>
      <c r="Y78" s="109"/>
      <c r="Z78" s="109"/>
    </row>
    <row r="79" spans="1:26">
      <c r="L79" s="29"/>
      <c r="M79" s="29"/>
      <c r="N79" s="29"/>
      <c r="O79" s="29"/>
      <c r="P79" s="29"/>
      <c r="Q79" s="610"/>
      <c r="R79" s="66"/>
      <c r="S79" s="66"/>
      <c r="T79" s="66"/>
      <c r="U79" s="29"/>
      <c r="V79" s="66"/>
      <c r="W79" s="69"/>
      <c r="X79" s="66"/>
      <c r="Y79" s="66"/>
      <c r="Z79" s="66"/>
    </row>
    <row r="80" spans="1:26">
      <c r="L80" s="29"/>
      <c r="M80" s="29"/>
      <c r="N80" s="29"/>
      <c r="O80" s="29"/>
      <c r="P80" s="29"/>
      <c r="Q80" s="611"/>
      <c r="R80" s="67"/>
      <c r="S80" s="67"/>
      <c r="T80" s="67"/>
      <c r="U80" s="29"/>
      <c r="W80" s="70"/>
      <c r="X80" s="69"/>
      <c r="Y80" s="68"/>
      <c r="Z80" s="69"/>
    </row>
    <row r="81" spans="1:26">
      <c r="L81" s="109"/>
      <c r="M81" s="109"/>
      <c r="N81" s="109"/>
      <c r="O81" s="109"/>
      <c r="P81" s="109"/>
      <c r="Q81" s="605"/>
      <c r="R81" s="68"/>
      <c r="S81" s="68"/>
      <c r="T81" s="68"/>
      <c r="U81" s="109"/>
      <c r="V81" s="70"/>
      <c r="W81" s="70"/>
      <c r="X81" s="70"/>
      <c r="Y81" s="70"/>
      <c r="Z81" s="70"/>
    </row>
    <row r="82" spans="1:26">
      <c r="L82" s="66"/>
      <c r="M82" s="66"/>
      <c r="N82" s="66"/>
      <c r="O82" s="66"/>
      <c r="P82" s="66"/>
      <c r="R82" s="68"/>
      <c r="S82" s="68"/>
      <c r="T82" s="68"/>
      <c r="U82" s="66"/>
      <c r="V82" s="70"/>
      <c r="W82" s="70"/>
      <c r="X82" s="70"/>
      <c r="Y82" s="70"/>
      <c r="Z82" s="70"/>
    </row>
    <row r="83" spans="1:26">
      <c r="L83" s="67"/>
      <c r="M83" s="67"/>
      <c r="N83" s="67"/>
      <c r="O83" s="67"/>
      <c r="P83" s="67"/>
      <c r="R83" s="68"/>
      <c r="S83" s="68"/>
      <c r="T83" s="68"/>
      <c r="U83" s="68"/>
      <c r="V83" s="70"/>
      <c r="W83" s="70"/>
      <c r="X83" s="70"/>
      <c r="Y83" s="70"/>
      <c r="Z83" s="70"/>
    </row>
    <row r="84" spans="1:26">
      <c r="L84" s="68"/>
      <c r="M84" s="68"/>
      <c r="N84" s="68"/>
      <c r="O84" s="68"/>
      <c r="P84" s="68"/>
      <c r="R84" s="68"/>
      <c r="S84" s="68"/>
      <c r="T84" s="68"/>
      <c r="U84" s="70"/>
      <c r="V84" s="70"/>
      <c r="W84" s="70"/>
      <c r="X84" s="70"/>
      <c r="Y84" s="70"/>
      <c r="Z84" s="70"/>
    </row>
    <row r="85" spans="1:26">
      <c r="L85" s="68"/>
      <c r="M85" s="68"/>
      <c r="N85" s="68"/>
      <c r="O85" s="68"/>
      <c r="P85" s="68"/>
      <c r="R85" s="68"/>
      <c r="S85" s="68"/>
      <c r="T85" s="68"/>
      <c r="U85" s="70"/>
      <c r="V85" s="70"/>
      <c r="W85" s="39"/>
      <c r="X85" s="70"/>
      <c r="Y85" s="70"/>
      <c r="Z85" s="70"/>
    </row>
    <row r="86" spans="1:26">
      <c r="L86" s="68"/>
      <c r="M86" s="68"/>
      <c r="N86" s="68"/>
      <c r="O86" s="68"/>
      <c r="P86" s="68"/>
      <c r="R86" s="67"/>
      <c r="S86" s="67"/>
      <c r="T86" s="67"/>
      <c r="U86" s="70"/>
      <c r="V86" s="39"/>
      <c r="W86" s="70"/>
      <c r="X86" s="39"/>
      <c r="Y86" s="39"/>
      <c r="Z86" s="39"/>
    </row>
    <row r="87" spans="1:26">
      <c r="L87" s="68"/>
      <c r="M87" s="68"/>
      <c r="N87" s="68"/>
      <c r="O87" s="68"/>
      <c r="P87" s="68"/>
      <c r="Q87" s="605"/>
      <c r="R87" s="67"/>
      <c r="S87" s="67"/>
      <c r="T87" s="67"/>
      <c r="U87" s="70"/>
      <c r="V87" s="70"/>
      <c r="W87" s="70"/>
      <c r="X87" s="70"/>
      <c r="Y87" s="70"/>
      <c r="Z87" s="70"/>
    </row>
    <row r="88" spans="1:26">
      <c r="L88" s="68"/>
      <c r="M88" s="68"/>
      <c r="N88" s="68"/>
      <c r="O88" s="68"/>
      <c r="P88" s="68"/>
      <c r="Q88" s="605"/>
      <c r="R88" s="68"/>
      <c r="S88" s="68"/>
      <c r="T88" s="68"/>
      <c r="U88" s="70"/>
      <c r="V88" s="70"/>
      <c r="W88" s="70"/>
      <c r="X88" s="70"/>
      <c r="Y88" s="70"/>
      <c r="Z88" s="70"/>
    </row>
    <row r="89" spans="1:26">
      <c r="L89" s="67"/>
      <c r="M89" s="67"/>
      <c r="N89" s="67"/>
      <c r="O89" s="67"/>
      <c r="P89" s="67"/>
      <c r="R89" s="68"/>
      <c r="S89" s="68"/>
      <c r="T89" s="68"/>
      <c r="U89" s="39"/>
      <c r="V89" s="70"/>
      <c r="W89" s="70"/>
      <c r="X89" s="70"/>
      <c r="Y89" s="70"/>
      <c r="Z89" s="70"/>
    </row>
    <row r="90" spans="1:26">
      <c r="L90" s="67"/>
      <c r="M90" s="67"/>
      <c r="N90" s="67"/>
      <c r="O90" s="67"/>
      <c r="P90" s="67"/>
      <c r="R90" s="71"/>
      <c r="S90" s="71"/>
      <c r="T90" s="71"/>
      <c r="U90" s="70"/>
      <c r="V90" s="70"/>
      <c r="W90" s="70"/>
      <c r="X90" s="70"/>
      <c r="Y90" s="70"/>
      <c r="Z90" s="70"/>
    </row>
    <row r="91" spans="1:26">
      <c r="L91" s="68"/>
      <c r="M91" s="68"/>
      <c r="N91" s="68"/>
      <c r="O91" s="68"/>
      <c r="P91" s="68"/>
      <c r="Q91" s="612"/>
      <c r="R91" s="71"/>
      <c r="S91" s="71"/>
      <c r="T91" s="71"/>
      <c r="U91" s="70"/>
      <c r="V91" s="70"/>
      <c r="W91" s="72"/>
      <c r="X91" s="70"/>
      <c r="Y91" s="70"/>
      <c r="Z91" s="70"/>
    </row>
    <row r="92" spans="1:26">
      <c r="L92" s="68"/>
      <c r="M92" s="68"/>
      <c r="N92" s="68"/>
      <c r="O92" s="68"/>
      <c r="P92" s="68"/>
      <c r="Q92" s="612"/>
      <c r="R92" s="67"/>
      <c r="S92" s="67"/>
      <c r="T92" s="67"/>
      <c r="U92" s="70"/>
      <c r="V92" s="72"/>
      <c r="W92" s="69"/>
      <c r="X92" s="72"/>
      <c r="Y92" s="72"/>
      <c r="Z92" s="72"/>
    </row>
    <row r="93" spans="1:26">
      <c r="L93" s="71"/>
      <c r="M93" s="71"/>
      <c r="N93" s="71"/>
      <c r="O93" s="71"/>
      <c r="P93" s="71"/>
      <c r="Q93" s="605"/>
      <c r="R93" s="67"/>
      <c r="S93" s="67"/>
      <c r="T93" s="67"/>
      <c r="U93" s="70"/>
      <c r="W93" s="70"/>
      <c r="X93" s="69"/>
      <c r="Z93" s="69"/>
    </row>
    <row r="94" spans="1:26">
      <c r="L94" s="71"/>
      <c r="M94" s="71"/>
      <c r="N94" s="71"/>
      <c r="O94" s="71"/>
      <c r="P94" s="71"/>
      <c r="Q94" s="605"/>
      <c r="R94" s="68"/>
      <c r="S94" s="68"/>
      <c r="T94" s="68"/>
      <c r="U94" s="70"/>
      <c r="V94" s="70"/>
      <c r="W94" s="70"/>
      <c r="X94" s="70"/>
      <c r="Y94" s="70"/>
      <c r="Z94" s="70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L95" s="67"/>
      <c r="M95" s="67"/>
      <c r="N95" s="67"/>
      <c r="O95" s="67"/>
      <c r="P95" s="67"/>
      <c r="R95" s="68"/>
      <c r="S95" s="68"/>
      <c r="T95" s="68"/>
      <c r="U95" s="72"/>
      <c r="V95" s="70"/>
      <c r="W95" s="70"/>
      <c r="X95" s="70"/>
      <c r="Y95" s="70"/>
      <c r="Z95" s="70"/>
    </row>
    <row r="96" spans="1:26">
      <c r="L96" s="67"/>
      <c r="M96" s="67"/>
      <c r="N96" s="67"/>
      <c r="O96" s="67"/>
      <c r="P96" s="67"/>
      <c r="R96" s="68"/>
      <c r="S96" s="68"/>
      <c r="T96" s="68"/>
      <c r="V96" s="70"/>
      <c r="W96" s="70"/>
      <c r="X96" s="70"/>
      <c r="Y96" s="70"/>
      <c r="Z96" s="70"/>
    </row>
    <row r="97" spans="1:26">
      <c r="L97" s="68"/>
      <c r="M97" s="68"/>
      <c r="N97" s="68"/>
      <c r="O97" s="68"/>
      <c r="P97" s="68"/>
      <c r="R97" s="68"/>
      <c r="S97" s="68"/>
      <c r="T97" s="68"/>
      <c r="U97" s="70"/>
      <c r="V97" s="70"/>
      <c r="W97" s="70"/>
      <c r="X97" s="70"/>
      <c r="Y97" s="70"/>
      <c r="Z97" s="70"/>
    </row>
    <row r="98" spans="1:26" s="2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L98" s="68"/>
      <c r="M98" s="68"/>
      <c r="N98" s="68"/>
      <c r="O98" s="68"/>
      <c r="P98" s="68"/>
      <c r="Q98" s="599"/>
      <c r="R98" s="68"/>
      <c r="S98" s="68"/>
      <c r="T98" s="68"/>
      <c r="U98" s="70"/>
      <c r="V98" s="70"/>
      <c r="W98" s="70"/>
      <c r="X98" s="70"/>
      <c r="Y98" s="70"/>
      <c r="Z98" s="70"/>
    </row>
    <row r="99" spans="1:26">
      <c r="L99" s="68"/>
      <c r="M99" s="68"/>
      <c r="N99" s="68"/>
      <c r="O99" s="68"/>
      <c r="P99" s="68"/>
      <c r="R99" s="68"/>
      <c r="S99" s="68"/>
      <c r="T99" s="68"/>
      <c r="U99" s="70"/>
      <c r="V99" s="70"/>
      <c r="W99" s="70"/>
      <c r="X99" s="70"/>
      <c r="Y99" s="70"/>
      <c r="Z99" s="70"/>
    </row>
    <row r="100" spans="1:26">
      <c r="L100" s="68"/>
      <c r="M100" s="68"/>
      <c r="N100" s="68"/>
      <c r="O100" s="68"/>
      <c r="P100" s="68"/>
      <c r="R100" s="68"/>
      <c r="S100" s="68"/>
      <c r="T100" s="68"/>
      <c r="U100" s="70"/>
      <c r="V100" s="70"/>
      <c r="W100" s="70"/>
      <c r="X100" s="70"/>
      <c r="Y100" s="70"/>
      <c r="Z100" s="70"/>
    </row>
    <row r="101" spans="1:26">
      <c r="L101" s="68"/>
      <c r="M101" s="68"/>
      <c r="N101" s="68"/>
      <c r="O101" s="68"/>
      <c r="P101" s="68"/>
      <c r="R101" s="68"/>
      <c r="S101" s="68"/>
      <c r="T101" s="68"/>
      <c r="U101" s="70"/>
      <c r="V101" s="70"/>
      <c r="W101" s="70"/>
      <c r="X101" s="70"/>
      <c r="Y101" s="70"/>
      <c r="Z101" s="70"/>
    </row>
    <row r="102" spans="1:26">
      <c r="L102" s="68"/>
      <c r="M102" s="68"/>
      <c r="N102" s="68"/>
      <c r="O102" s="68"/>
      <c r="P102" s="68"/>
      <c r="R102" s="68"/>
      <c r="S102" s="68"/>
      <c r="T102" s="68"/>
      <c r="U102" s="70"/>
      <c r="V102" s="70"/>
      <c r="W102" s="70"/>
      <c r="X102" s="70"/>
      <c r="Y102" s="70"/>
      <c r="Z102" s="70"/>
    </row>
    <row r="103" spans="1:26">
      <c r="L103" s="68"/>
      <c r="M103" s="68"/>
      <c r="N103" s="68"/>
      <c r="O103" s="68"/>
      <c r="P103" s="68"/>
      <c r="R103" s="68"/>
      <c r="S103" s="68"/>
      <c r="T103" s="68"/>
      <c r="U103" s="70"/>
      <c r="V103" s="70"/>
      <c r="W103" s="70"/>
      <c r="X103" s="70"/>
      <c r="Y103" s="70"/>
      <c r="Z103" s="70"/>
    </row>
    <row r="104" spans="1:26">
      <c r="L104" s="68"/>
      <c r="M104" s="68"/>
      <c r="N104" s="68"/>
      <c r="O104" s="68"/>
      <c r="P104" s="68"/>
      <c r="R104" s="68"/>
      <c r="S104" s="68"/>
      <c r="T104" s="68"/>
      <c r="U104" s="70"/>
      <c r="V104" s="70"/>
      <c r="W104" s="39"/>
      <c r="X104" s="70"/>
      <c r="Y104" s="70"/>
      <c r="Z104" s="70"/>
    </row>
    <row r="105" spans="1:26">
      <c r="L105" s="68"/>
      <c r="M105" s="68"/>
      <c r="N105" s="68"/>
      <c r="O105" s="68"/>
      <c r="P105" s="68"/>
      <c r="R105" s="67"/>
      <c r="S105" s="67"/>
      <c r="T105" s="67"/>
      <c r="U105" s="70"/>
      <c r="V105" s="39"/>
      <c r="W105" s="39"/>
      <c r="X105" s="39"/>
      <c r="Y105" s="39"/>
      <c r="Z105" s="39"/>
    </row>
    <row r="106" spans="1:26">
      <c r="L106" s="68"/>
      <c r="M106" s="68"/>
      <c r="N106" s="68"/>
      <c r="O106" s="68"/>
      <c r="P106" s="68"/>
      <c r="Q106" s="605"/>
      <c r="R106" s="67"/>
      <c r="S106" s="67"/>
      <c r="T106" s="67"/>
      <c r="U106" s="70"/>
      <c r="V106" s="2"/>
      <c r="W106" s="70"/>
      <c r="X106" s="39"/>
      <c r="Y106" s="2"/>
      <c r="Z106" s="39"/>
    </row>
    <row r="107" spans="1:26">
      <c r="L107" s="68"/>
      <c r="M107" s="68"/>
      <c r="N107" s="68"/>
      <c r="O107" s="68"/>
      <c r="P107" s="68"/>
      <c r="Q107" s="605"/>
      <c r="R107" s="68"/>
      <c r="S107" s="68"/>
      <c r="T107" s="68"/>
      <c r="U107" s="70"/>
      <c r="V107" s="70"/>
      <c r="W107" s="70"/>
      <c r="X107" s="70"/>
      <c r="Y107" s="70"/>
      <c r="Z107" s="70"/>
    </row>
    <row r="108" spans="1:26">
      <c r="L108" s="67"/>
      <c r="M108" s="67"/>
      <c r="N108" s="67"/>
      <c r="O108" s="67"/>
      <c r="P108" s="67"/>
      <c r="R108" s="68"/>
      <c r="S108" s="68"/>
      <c r="T108" s="68"/>
      <c r="U108" s="39"/>
      <c r="V108" s="70"/>
      <c r="W108" s="70"/>
      <c r="X108" s="70"/>
      <c r="Y108" s="70"/>
      <c r="Z108" s="70"/>
    </row>
    <row r="109" spans="1:26">
      <c r="L109" s="67"/>
      <c r="M109" s="67"/>
      <c r="N109" s="67"/>
      <c r="O109" s="67"/>
      <c r="P109" s="67"/>
      <c r="R109" s="68"/>
      <c r="S109" s="68"/>
      <c r="T109" s="68"/>
      <c r="U109" s="2"/>
      <c r="V109" s="70"/>
      <c r="W109" s="70"/>
      <c r="X109" s="70"/>
      <c r="Y109" s="70"/>
      <c r="Z109" s="70"/>
    </row>
    <row r="110" spans="1:26">
      <c r="L110" s="68"/>
      <c r="M110" s="68"/>
      <c r="N110" s="68"/>
      <c r="O110" s="68"/>
      <c r="P110" s="68"/>
      <c r="R110" s="68"/>
      <c r="S110" s="68"/>
      <c r="T110" s="68"/>
      <c r="U110" s="70"/>
      <c r="V110" s="70"/>
      <c r="W110" s="39"/>
      <c r="X110" s="70"/>
      <c r="Y110" s="70"/>
      <c r="Z110" s="70"/>
    </row>
    <row r="111" spans="1:26">
      <c r="L111" s="68"/>
      <c r="M111" s="68"/>
      <c r="N111" s="68"/>
      <c r="O111" s="68"/>
      <c r="P111" s="68"/>
      <c r="R111" s="67"/>
      <c r="S111" s="67"/>
      <c r="T111" s="67"/>
      <c r="U111" s="70"/>
      <c r="V111" s="39"/>
      <c r="W111" s="69"/>
      <c r="X111" s="39"/>
      <c r="Y111" s="39"/>
      <c r="Z111" s="39"/>
    </row>
    <row r="112" spans="1:26">
      <c r="L112" s="68"/>
      <c r="M112" s="68"/>
      <c r="N112" s="68"/>
      <c r="O112" s="68"/>
      <c r="P112" s="68"/>
      <c r="Q112" s="605"/>
      <c r="R112" s="67"/>
      <c r="S112" s="67"/>
      <c r="T112" s="67"/>
      <c r="U112" s="70"/>
      <c r="V112" s="69"/>
      <c r="W112" s="69"/>
      <c r="X112" s="69"/>
      <c r="Y112" s="69"/>
      <c r="Z112" s="69"/>
    </row>
    <row r="113" spans="12:26">
      <c r="L113" s="68"/>
      <c r="M113" s="68"/>
      <c r="N113" s="68"/>
      <c r="O113" s="68"/>
      <c r="P113" s="68"/>
      <c r="Q113" s="605"/>
      <c r="R113" s="68"/>
      <c r="S113" s="68"/>
      <c r="T113" s="68"/>
      <c r="U113" s="70"/>
      <c r="V113" s="69"/>
      <c r="W113" s="69"/>
      <c r="X113" s="69"/>
      <c r="Y113" s="69"/>
      <c r="Z113" s="69"/>
    </row>
    <row r="114" spans="12:26">
      <c r="L114" s="67"/>
      <c r="M114" s="67"/>
      <c r="N114" s="67"/>
      <c r="O114" s="67"/>
      <c r="P114" s="67"/>
      <c r="R114" s="68"/>
      <c r="S114" s="68"/>
      <c r="T114" s="68"/>
      <c r="U114" s="39"/>
      <c r="V114" s="69"/>
      <c r="W114" s="69"/>
      <c r="X114" s="69"/>
      <c r="Y114" s="69"/>
      <c r="Z114" s="69"/>
    </row>
    <row r="115" spans="12:26">
      <c r="L115" s="67"/>
      <c r="M115" s="67"/>
      <c r="N115" s="67"/>
      <c r="O115" s="67"/>
      <c r="P115" s="67"/>
      <c r="R115" s="68"/>
      <c r="S115" s="68"/>
      <c r="T115" s="68"/>
      <c r="U115" s="69"/>
      <c r="V115" s="69"/>
      <c r="W115" s="69"/>
      <c r="X115" s="69"/>
      <c r="Y115" s="69"/>
      <c r="Z115" s="69"/>
    </row>
    <row r="116" spans="12:26">
      <c r="L116" s="68"/>
      <c r="M116" s="68"/>
      <c r="N116" s="68"/>
      <c r="O116" s="68"/>
      <c r="P116" s="68"/>
      <c r="R116" s="68"/>
      <c r="S116" s="68"/>
      <c r="T116" s="68"/>
      <c r="U116" s="69"/>
      <c r="V116" s="69"/>
      <c r="W116" s="39"/>
      <c r="X116" s="69"/>
      <c r="Y116" s="69"/>
      <c r="Z116" s="69"/>
    </row>
    <row r="117" spans="12:26">
      <c r="L117" s="68"/>
      <c r="M117" s="68"/>
      <c r="N117" s="68"/>
      <c r="O117" s="68"/>
      <c r="P117" s="68"/>
      <c r="R117" s="67"/>
      <c r="S117" s="67"/>
      <c r="T117" s="67"/>
      <c r="U117" s="69"/>
      <c r="V117" s="40"/>
      <c r="W117" s="39"/>
      <c r="X117" s="39"/>
      <c r="Y117" s="40"/>
      <c r="Z117" s="40"/>
    </row>
    <row r="118" spans="12:26">
      <c r="L118" s="68"/>
      <c r="M118" s="68"/>
      <c r="N118" s="68"/>
      <c r="O118" s="68"/>
      <c r="P118" s="68"/>
      <c r="Q118" s="605"/>
      <c r="R118" s="67"/>
      <c r="S118" s="67"/>
      <c r="T118" s="67"/>
      <c r="U118" s="69"/>
      <c r="V118" s="40"/>
      <c r="W118" s="69"/>
      <c r="X118" s="39"/>
      <c r="Y118" s="40"/>
      <c r="Z118" s="40"/>
    </row>
    <row r="119" spans="12:26">
      <c r="L119" s="68"/>
      <c r="M119" s="68"/>
      <c r="N119" s="68"/>
      <c r="O119" s="68"/>
      <c r="P119" s="68"/>
      <c r="Q119" s="605"/>
      <c r="R119" s="68"/>
      <c r="S119" s="68"/>
      <c r="T119" s="68"/>
      <c r="U119" s="69"/>
      <c r="V119" s="69"/>
      <c r="W119" s="69"/>
      <c r="X119" s="69"/>
      <c r="Y119" s="69"/>
      <c r="Z119" s="69"/>
    </row>
    <row r="120" spans="12:26">
      <c r="L120" s="67"/>
      <c r="M120" s="67"/>
      <c r="N120" s="67"/>
      <c r="O120" s="67"/>
      <c r="P120" s="67"/>
      <c r="R120" s="68"/>
      <c r="S120" s="68"/>
      <c r="T120" s="68"/>
      <c r="U120" s="40"/>
      <c r="V120" s="69"/>
      <c r="W120" s="69"/>
      <c r="X120" s="69"/>
      <c r="Y120" s="69"/>
      <c r="Z120" s="69"/>
    </row>
    <row r="121" spans="12:26">
      <c r="L121" s="67"/>
      <c r="M121" s="67"/>
      <c r="N121" s="67"/>
      <c r="O121" s="67"/>
      <c r="P121" s="67"/>
      <c r="R121" s="68"/>
      <c r="S121" s="68"/>
      <c r="T121" s="68"/>
      <c r="U121" s="40"/>
      <c r="V121" s="69"/>
      <c r="W121" s="39"/>
      <c r="X121" s="69"/>
      <c r="Y121" s="69"/>
      <c r="Z121" s="69"/>
    </row>
    <row r="122" spans="12:26">
      <c r="L122" s="68"/>
      <c r="M122" s="68"/>
      <c r="N122" s="68"/>
      <c r="O122" s="68"/>
      <c r="P122" s="68"/>
      <c r="R122" s="67"/>
      <c r="S122" s="67"/>
      <c r="T122" s="67"/>
      <c r="U122" s="69"/>
      <c r="V122" s="40"/>
      <c r="W122" s="39"/>
      <c r="X122" s="39"/>
      <c r="Y122" s="40"/>
      <c r="Z122" s="40"/>
    </row>
    <row r="123" spans="12:26">
      <c r="L123" s="68"/>
      <c r="M123" s="68"/>
      <c r="N123" s="68"/>
      <c r="O123" s="68"/>
      <c r="P123" s="68"/>
      <c r="Q123" s="605"/>
      <c r="R123" s="67"/>
      <c r="S123" s="67"/>
      <c r="T123" s="67"/>
      <c r="U123" s="69"/>
      <c r="V123" s="40"/>
      <c r="W123" s="40"/>
      <c r="X123" s="39"/>
      <c r="Y123" s="40"/>
      <c r="Z123" s="40"/>
    </row>
    <row r="124" spans="12:26">
      <c r="L124" s="68"/>
      <c r="M124" s="68"/>
      <c r="N124" s="68"/>
      <c r="O124" s="68"/>
      <c r="P124" s="68"/>
      <c r="Q124" s="605"/>
      <c r="R124" s="67"/>
      <c r="S124" s="67"/>
      <c r="T124" s="67"/>
      <c r="U124" s="69"/>
      <c r="V124" s="40"/>
      <c r="X124" s="40"/>
      <c r="Y124" s="40"/>
      <c r="Z124" s="40"/>
    </row>
    <row r="125" spans="12:26">
      <c r="L125" s="67"/>
      <c r="M125" s="67"/>
      <c r="N125" s="67"/>
      <c r="O125" s="67"/>
      <c r="P125" s="67"/>
      <c r="Q125" s="605"/>
      <c r="U125" s="40"/>
    </row>
    <row r="126" spans="12:26">
      <c r="L126" s="67"/>
      <c r="M126" s="67"/>
      <c r="N126" s="67"/>
      <c r="O126" s="67"/>
      <c r="P126" s="67"/>
      <c r="U126" s="73"/>
    </row>
    <row r="127" spans="12:26">
      <c r="L127" s="67"/>
      <c r="M127" s="67"/>
      <c r="N127" s="67"/>
      <c r="O127" s="67"/>
      <c r="P127" s="67"/>
      <c r="U127" s="40"/>
    </row>
  </sheetData>
  <mergeCells count="1">
    <mergeCell ref="A1:J1"/>
  </mergeCells>
  <pageMargins left="0.7" right="0.7" top="0.75" bottom="0.75" header="0.3" footer="0.3"/>
  <pageSetup fitToWidth="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zoomScale="87" zoomScaleNormal="87" workbookViewId="0">
      <pane xSplit="1" topLeftCell="C1" activePane="topRight" state="frozen"/>
      <selection pane="topRight" activeCell="D31" sqref="D31"/>
      <selection activeCell="A14" sqref="A14"/>
    </sheetView>
  </sheetViews>
  <sheetFormatPr defaultColWidth="11.42578125" defaultRowHeight="12.75" customHeight="1"/>
  <cols>
    <col min="1" max="1" width="38" customWidth="1"/>
    <col min="2" max="2" width="23.42578125" customWidth="1"/>
    <col min="3" max="3" width="27.42578125" customWidth="1"/>
    <col min="4" max="4" width="20" bestFit="1" customWidth="1"/>
    <col min="5" max="5" width="26" bestFit="1" customWidth="1"/>
    <col min="6" max="6" width="20" bestFit="1" customWidth="1"/>
    <col min="7" max="7" width="26" bestFit="1" customWidth="1"/>
    <col min="8" max="8" width="20" bestFit="1" customWidth="1"/>
    <col min="9" max="9" width="25.42578125" customWidth="1"/>
  </cols>
  <sheetData>
    <row r="1" spans="1:11" ht="34.5" customHeight="1">
      <c r="A1" s="708" t="s">
        <v>132</v>
      </c>
      <c r="B1" s="709" t="s">
        <v>133</v>
      </c>
      <c r="C1" s="710" t="s">
        <v>134</v>
      </c>
      <c r="D1" s="709" t="s">
        <v>133</v>
      </c>
      <c r="E1" s="710" t="s">
        <v>135</v>
      </c>
      <c r="F1" s="709" t="s">
        <v>136</v>
      </c>
      <c r="G1" s="710" t="s">
        <v>137</v>
      </c>
      <c r="H1" s="711" t="s">
        <v>138</v>
      </c>
      <c r="I1" s="712" t="s">
        <v>139</v>
      </c>
    </row>
    <row r="2" spans="1:11" ht="15">
      <c r="A2" s="240" t="s">
        <v>140</v>
      </c>
      <c r="B2" s="764"/>
      <c r="C2" s="764">
        <v>55700</v>
      </c>
      <c r="D2" s="79"/>
      <c r="E2" s="79">
        <v>55700</v>
      </c>
      <c r="F2" s="79"/>
      <c r="G2" s="79">
        <v>55500</v>
      </c>
      <c r="H2" s="79"/>
      <c r="I2" s="241">
        <v>55000</v>
      </c>
    </row>
    <row r="3" spans="1:11" ht="15">
      <c r="A3" s="240" t="s">
        <v>141</v>
      </c>
      <c r="B3" s="764"/>
      <c r="C3" s="764">
        <v>46000</v>
      </c>
      <c r="D3" s="79"/>
      <c r="E3" s="79">
        <v>46000</v>
      </c>
      <c r="F3" s="147"/>
      <c r="G3" s="79">
        <v>43000</v>
      </c>
      <c r="H3" s="79"/>
      <c r="I3" s="241">
        <v>43000</v>
      </c>
    </row>
    <row r="4" spans="1:11" ht="15">
      <c r="A4" s="248" t="s">
        <v>17</v>
      </c>
      <c r="B4" s="754">
        <f t="shared" ref="B4:B14" si="0">1.0265*D4</f>
        <v>51.335265</v>
      </c>
      <c r="C4" s="792">
        <f>B4*$C$2</f>
        <v>2859374.2604999999</v>
      </c>
      <c r="D4" s="250">
        <v>50.01</v>
      </c>
      <c r="E4" s="250">
        <f>D4*E2</f>
        <v>2785557</v>
      </c>
      <c r="F4" s="249">
        <v>48.23</v>
      </c>
      <c r="G4" s="250">
        <f>F4*G2</f>
        <v>2676765</v>
      </c>
      <c r="H4" s="251">
        <v>45.11</v>
      </c>
      <c r="I4" s="252">
        <f t="shared" ref="I4:I13" si="1">H4*$I$2</f>
        <v>2481050</v>
      </c>
      <c r="K4" s="542"/>
    </row>
    <row r="5" spans="1:11" ht="15">
      <c r="A5" s="248" t="s">
        <v>19</v>
      </c>
      <c r="B5" s="754">
        <f t="shared" si="0"/>
        <v>9.9467849999999984</v>
      </c>
      <c r="C5" s="792">
        <f>B5*$C$2</f>
        <v>554035.92449999996</v>
      </c>
      <c r="D5" s="250">
        <v>9.69</v>
      </c>
      <c r="E5" s="250">
        <f>D5*E2</f>
        <v>539733</v>
      </c>
      <c r="F5" s="249">
        <v>9.34</v>
      </c>
      <c r="G5" s="250">
        <f>F5*G2</f>
        <v>518370</v>
      </c>
      <c r="H5" s="251">
        <v>8.74</v>
      </c>
      <c r="I5" s="252">
        <f t="shared" si="1"/>
        <v>480700</v>
      </c>
    </row>
    <row r="6" spans="1:11" ht="15">
      <c r="A6" s="248" t="s">
        <v>21</v>
      </c>
      <c r="B6" s="754">
        <f t="shared" si="0"/>
        <v>2.1043249999999998</v>
      </c>
      <c r="C6" s="792">
        <f t="shared" ref="C6:C27" si="2">B6*$C$2</f>
        <v>117210.90249999998</v>
      </c>
      <c r="D6" s="250">
        <v>2.0499999999999998</v>
      </c>
      <c r="E6" s="250">
        <f>D6*E2</f>
        <v>114184.99999999999</v>
      </c>
      <c r="F6" s="249">
        <v>1.98</v>
      </c>
      <c r="G6" s="250">
        <f>F6*G2</f>
        <v>109890</v>
      </c>
      <c r="H6" s="251">
        <v>1.85</v>
      </c>
      <c r="I6" s="252">
        <f t="shared" si="1"/>
        <v>101750</v>
      </c>
    </row>
    <row r="7" spans="1:11" ht="15">
      <c r="A7" s="248" t="s">
        <v>23</v>
      </c>
      <c r="B7" s="754">
        <f t="shared" si="0"/>
        <v>6.8159599999999996</v>
      </c>
      <c r="C7" s="792">
        <f t="shared" si="2"/>
        <v>379648.97199999995</v>
      </c>
      <c r="D7" s="250">
        <v>6.64</v>
      </c>
      <c r="E7" s="250">
        <f>D7*E2</f>
        <v>369848</v>
      </c>
      <c r="F7" s="249">
        <v>6.4</v>
      </c>
      <c r="G7" s="250">
        <f>F7*G2</f>
        <v>355200</v>
      </c>
      <c r="H7" s="251">
        <v>5.99</v>
      </c>
      <c r="I7" s="252">
        <f t="shared" si="1"/>
        <v>329450</v>
      </c>
    </row>
    <row r="8" spans="1:11" ht="15">
      <c r="A8" s="248" t="s">
        <v>103</v>
      </c>
      <c r="B8" s="754">
        <f t="shared" si="0"/>
        <v>18.199845</v>
      </c>
      <c r="C8" s="792">
        <f t="shared" si="2"/>
        <v>1013731.3665</v>
      </c>
      <c r="D8" s="250">
        <v>17.73</v>
      </c>
      <c r="E8" s="250">
        <f>D8*E2</f>
        <v>987561</v>
      </c>
      <c r="F8" s="249">
        <v>17.100000000000001</v>
      </c>
      <c r="G8" s="250">
        <f>F8*G2</f>
        <v>949050.00000000012</v>
      </c>
      <c r="H8" s="251">
        <v>16</v>
      </c>
      <c r="I8" s="252">
        <f t="shared" si="1"/>
        <v>880000</v>
      </c>
    </row>
    <row r="9" spans="1:11" ht="15">
      <c r="A9" s="248" t="s">
        <v>27</v>
      </c>
      <c r="B9" s="754">
        <f t="shared" si="0"/>
        <v>6.9699349999999995</v>
      </c>
      <c r="C9" s="792">
        <f t="shared" si="2"/>
        <v>388225.37949999998</v>
      </c>
      <c r="D9" s="250">
        <v>6.79</v>
      </c>
      <c r="E9" s="250">
        <f>D9*E2</f>
        <v>378203</v>
      </c>
      <c r="F9" s="249">
        <v>6.55</v>
      </c>
      <c r="G9" s="250">
        <f>F9*G2</f>
        <v>363525</v>
      </c>
      <c r="H9" s="251">
        <v>6.13</v>
      </c>
      <c r="I9" s="252">
        <f t="shared" si="1"/>
        <v>337150</v>
      </c>
    </row>
    <row r="10" spans="1:11" ht="15">
      <c r="A10" s="248" t="s">
        <v>29</v>
      </c>
      <c r="B10" s="754">
        <f t="shared" si="0"/>
        <v>1.3447150000000001</v>
      </c>
      <c r="C10" s="792">
        <f t="shared" si="2"/>
        <v>74900.625500000009</v>
      </c>
      <c r="D10" s="250">
        <v>1.31</v>
      </c>
      <c r="E10" s="250">
        <f>D10*E2</f>
        <v>72967</v>
      </c>
      <c r="F10" s="249">
        <v>1.26</v>
      </c>
      <c r="G10" s="250">
        <f>F10*G2</f>
        <v>69930</v>
      </c>
      <c r="H10" s="251">
        <v>1.18</v>
      </c>
      <c r="I10" s="252">
        <f t="shared" si="1"/>
        <v>64900</v>
      </c>
    </row>
    <row r="11" spans="1:11" ht="15">
      <c r="A11" s="248" t="s">
        <v>142</v>
      </c>
      <c r="B11" s="754">
        <f t="shared" si="0"/>
        <v>1.7039899999999999</v>
      </c>
      <c r="C11" s="792">
        <f t="shared" si="2"/>
        <v>94912.242999999988</v>
      </c>
      <c r="D11" s="250">
        <v>1.66</v>
      </c>
      <c r="E11" s="250">
        <f>E2*D11</f>
        <v>92462</v>
      </c>
      <c r="F11" s="249">
        <v>1.6</v>
      </c>
      <c r="G11" s="250">
        <f>G2*F11</f>
        <v>88800</v>
      </c>
      <c r="H11" s="251">
        <v>1.5</v>
      </c>
      <c r="I11" s="252">
        <f t="shared" si="1"/>
        <v>82500</v>
      </c>
    </row>
    <row r="12" spans="1:11" ht="15">
      <c r="A12" s="248" t="s">
        <v>33</v>
      </c>
      <c r="B12" s="754">
        <f t="shared" si="0"/>
        <v>0.34900999999999999</v>
      </c>
      <c r="C12" s="792">
        <f t="shared" si="2"/>
        <v>19439.857</v>
      </c>
      <c r="D12" s="250">
        <v>0.34</v>
      </c>
      <c r="E12" s="250">
        <f>D12*E2</f>
        <v>18938</v>
      </c>
      <c r="F12" s="249">
        <v>0.33</v>
      </c>
      <c r="G12" s="250">
        <f>F12*G2</f>
        <v>18315</v>
      </c>
      <c r="H12" s="251">
        <v>0.31</v>
      </c>
      <c r="I12" s="252">
        <f t="shared" si="1"/>
        <v>17050</v>
      </c>
    </row>
    <row r="13" spans="1:11" ht="15">
      <c r="A13" s="248" t="s">
        <v>35</v>
      </c>
      <c r="B13" s="754">
        <f t="shared" si="0"/>
        <v>0.85199499999999995</v>
      </c>
      <c r="C13" s="792">
        <f t="shared" si="2"/>
        <v>47456.121499999994</v>
      </c>
      <c r="D13" s="250">
        <v>0.83</v>
      </c>
      <c r="E13" s="250">
        <f>D13*E2</f>
        <v>46231</v>
      </c>
      <c r="F13" s="249">
        <v>0.8</v>
      </c>
      <c r="G13" s="250">
        <f>F13*G2</f>
        <v>44400</v>
      </c>
      <c r="H13" s="251">
        <v>0.75</v>
      </c>
      <c r="I13" s="252">
        <f t="shared" si="1"/>
        <v>41250</v>
      </c>
    </row>
    <row r="14" spans="1:11" ht="15">
      <c r="A14" s="248" t="s">
        <v>37</v>
      </c>
      <c r="B14" s="754">
        <f t="shared" si="0"/>
        <v>4.4344799999999998</v>
      </c>
      <c r="C14" s="792">
        <f t="shared" si="2"/>
        <v>247000.53599999999</v>
      </c>
      <c r="D14" s="250">
        <v>4.32</v>
      </c>
      <c r="E14" s="250">
        <f>D14*E2</f>
        <v>240624.00000000003</v>
      </c>
      <c r="F14" s="249">
        <v>4.17</v>
      </c>
      <c r="G14" s="250">
        <f>F14*G2</f>
        <v>231435</v>
      </c>
      <c r="H14" s="251">
        <v>1.17</v>
      </c>
      <c r="I14" s="252">
        <f>H14*$I$2</f>
        <v>64349.999999999993</v>
      </c>
    </row>
    <row r="15" spans="1:11" ht="15">
      <c r="A15" s="248" t="s">
        <v>38</v>
      </c>
      <c r="B15" s="766">
        <f>D15</f>
        <v>1</v>
      </c>
      <c r="C15" s="792">
        <f t="shared" si="2"/>
        <v>55700</v>
      </c>
      <c r="D15" s="250">
        <v>1</v>
      </c>
      <c r="E15" s="250">
        <f>D15*E2</f>
        <v>55700</v>
      </c>
      <c r="F15" s="249">
        <v>1</v>
      </c>
      <c r="G15" s="250">
        <f>F15*G2</f>
        <v>55500</v>
      </c>
      <c r="H15" s="251">
        <v>1</v>
      </c>
      <c r="I15" s="252">
        <f>H15*$I$2</f>
        <v>55000</v>
      </c>
    </row>
    <row r="16" spans="1:11" ht="15">
      <c r="A16" s="248" t="s">
        <v>40</v>
      </c>
      <c r="B16" s="766">
        <f>D16</f>
        <v>12</v>
      </c>
      <c r="C16" s="792">
        <f t="shared" si="2"/>
        <v>668400</v>
      </c>
      <c r="D16" s="250">
        <v>12</v>
      </c>
      <c r="E16" s="250">
        <f>D16*E2</f>
        <v>668400</v>
      </c>
      <c r="F16" s="249">
        <v>12</v>
      </c>
      <c r="G16" s="250">
        <f>F16*G2</f>
        <v>666000</v>
      </c>
      <c r="H16" s="251">
        <v>12</v>
      </c>
      <c r="I16" s="252">
        <f>H16*$I$2</f>
        <v>660000</v>
      </c>
    </row>
    <row r="17" spans="1:9" ht="15">
      <c r="A17" s="248" t="s">
        <v>42</v>
      </c>
      <c r="B17" s="766">
        <f>D17</f>
        <v>21</v>
      </c>
      <c r="C17" s="792">
        <f t="shared" si="2"/>
        <v>1169700</v>
      </c>
      <c r="D17" s="250">
        <v>21</v>
      </c>
      <c r="E17" s="250">
        <f>D17*E2</f>
        <v>1169700</v>
      </c>
      <c r="F17" s="249">
        <v>21</v>
      </c>
      <c r="G17" s="250">
        <f>F17*G2</f>
        <v>1165500</v>
      </c>
      <c r="H17" s="251">
        <v>21</v>
      </c>
      <c r="I17" s="252">
        <f t="shared" ref="I17:I24" si="3">H17*$I$2</f>
        <v>1155000</v>
      </c>
    </row>
    <row r="18" spans="1:9" ht="15">
      <c r="A18" s="248" t="s">
        <v>44</v>
      </c>
      <c r="B18" s="754">
        <f>1.0265*D18</f>
        <v>3.5516899999999998</v>
      </c>
      <c r="C18" s="792">
        <f t="shared" si="2"/>
        <v>197829.133</v>
      </c>
      <c r="D18" s="250">
        <v>3.46</v>
      </c>
      <c r="E18" s="250">
        <f>D18*E2</f>
        <v>192722</v>
      </c>
      <c r="F18" s="249">
        <v>3.1</v>
      </c>
      <c r="G18" s="250">
        <f>F18*G2</f>
        <v>172050</v>
      </c>
      <c r="H18" s="251">
        <v>3</v>
      </c>
      <c r="I18" s="252">
        <f t="shared" si="3"/>
        <v>165000</v>
      </c>
    </row>
    <row r="19" spans="1:9" ht="15">
      <c r="A19" s="248" t="s">
        <v>46</v>
      </c>
      <c r="B19" s="766">
        <v>3</v>
      </c>
      <c r="C19" s="792">
        <f>B19*$C$2*0.2</f>
        <v>33420</v>
      </c>
      <c r="D19" s="250">
        <v>3</v>
      </c>
      <c r="E19" s="250">
        <f>D19*E2*0.2</f>
        <v>33420</v>
      </c>
      <c r="F19" s="249">
        <v>3</v>
      </c>
      <c r="G19" s="250">
        <f>F19*G2*0.2</f>
        <v>33300</v>
      </c>
      <c r="H19" s="251">
        <v>3</v>
      </c>
      <c r="I19" s="252">
        <f>H19*$I$2*0.2</f>
        <v>33000</v>
      </c>
    </row>
    <row r="20" spans="1:9" ht="15">
      <c r="A20" s="248" t="s">
        <v>48</v>
      </c>
      <c r="B20" s="767">
        <f>1.02596*D20</f>
        <v>376.94796360000004</v>
      </c>
      <c r="C20" s="792">
        <f>B20*$C$3</f>
        <v>17339606.325600002</v>
      </c>
      <c r="D20" s="250">
        <v>367.41</v>
      </c>
      <c r="E20" s="250">
        <f>D20*E3</f>
        <v>16900860</v>
      </c>
      <c r="F20" s="249">
        <v>338</v>
      </c>
      <c r="G20" s="250">
        <f>F20*G3</f>
        <v>14534000</v>
      </c>
      <c r="H20" s="251">
        <v>277.5</v>
      </c>
      <c r="I20" s="252">
        <f>H20*$I$3</f>
        <v>11932500</v>
      </c>
    </row>
    <row r="21" spans="1:9" ht="15">
      <c r="A21" s="248" t="s">
        <v>50</v>
      </c>
      <c r="B21" s="766">
        <f>D21</f>
        <v>100</v>
      </c>
      <c r="C21" s="792">
        <f>B21*$C$2</f>
        <v>5570000</v>
      </c>
      <c r="D21" s="250">
        <v>100</v>
      </c>
      <c r="E21" s="250">
        <f>E2*D21</f>
        <v>5570000</v>
      </c>
      <c r="F21" s="249">
        <v>100</v>
      </c>
      <c r="G21" s="250">
        <f>G2*F21</f>
        <v>5550000</v>
      </c>
      <c r="H21" s="251">
        <v>50</v>
      </c>
      <c r="I21" s="252">
        <f t="shared" si="3"/>
        <v>2750000</v>
      </c>
    </row>
    <row r="22" spans="1:9" ht="15">
      <c r="A22" s="248" t="s">
        <v>52</v>
      </c>
      <c r="B22" s="754">
        <f>1.0265*D22</f>
        <v>0.46192499999999997</v>
      </c>
      <c r="C22" s="792">
        <f t="shared" si="2"/>
        <v>25729.2225</v>
      </c>
      <c r="D22" s="250">
        <v>0.45</v>
      </c>
      <c r="E22" s="250">
        <f>D22*E2</f>
        <v>25065</v>
      </c>
      <c r="F22" s="249">
        <v>0.43</v>
      </c>
      <c r="G22" s="250">
        <f>F22*G2</f>
        <v>23865</v>
      </c>
      <c r="H22" s="251">
        <v>0.4</v>
      </c>
      <c r="I22" s="252">
        <f t="shared" si="3"/>
        <v>22000</v>
      </c>
    </row>
    <row r="23" spans="1:9" ht="15">
      <c r="A23" s="253" t="s">
        <v>54</v>
      </c>
      <c r="B23" s="754">
        <f>1.0265*D23</f>
        <v>1.1599449999999998</v>
      </c>
      <c r="C23" s="792">
        <f t="shared" si="2"/>
        <v>64608.936499999989</v>
      </c>
      <c r="D23" s="236">
        <v>1.1299999999999999</v>
      </c>
      <c r="E23" s="236">
        <f>D23*E2</f>
        <v>62940.999999999993</v>
      </c>
      <c r="F23" s="254">
        <v>1.0900000000000001</v>
      </c>
      <c r="G23" s="236">
        <f>F23*G2</f>
        <v>60495.000000000007</v>
      </c>
      <c r="H23" s="251">
        <v>1.02</v>
      </c>
      <c r="I23" s="252">
        <f t="shared" si="3"/>
        <v>56100</v>
      </c>
    </row>
    <row r="24" spans="1:9" ht="15">
      <c r="A24" s="253" t="s">
        <v>56</v>
      </c>
      <c r="B24" s="754">
        <f>1.0265*D24</f>
        <v>1.1599449999999998</v>
      </c>
      <c r="C24" s="792">
        <f t="shared" si="2"/>
        <v>64608.936499999989</v>
      </c>
      <c r="D24" s="236">
        <v>1.1299999999999999</v>
      </c>
      <c r="E24" s="236">
        <f>D24*E2</f>
        <v>62940.999999999993</v>
      </c>
      <c r="F24" s="254">
        <v>1.0900000000000001</v>
      </c>
      <c r="G24" s="236">
        <f>F24*G2</f>
        <v>60495.000000000007</v>
      </c>
      <c r="H24" s="251">
        <v>1.02</v>
      </c>
      <c r="I24" s="252">
        <f t="shared" si="3"/>
        <v>56100</v>
      </c>
    </row>
    <row r="25" spans="1:9" ht="15">
      <c r="A25" s="255" t="s">
        <v>143</v>
      </c>
      <c r="B25" s="766">
        <v>20</v>
      </c>
      <c r="C25" s="792">
        <f t="shared" si="2"/>
        <v>1114000</v>
      </c>
      <c r="D25" s="257">
        <v>15</v>
      </c>
      <c r="E25" s="257">
        <f>D25*E2</f>
        <v>835500</v>
      </c>
      <c r="F25" s="256">
        <v>10</v>
      </c>
      <c r="G25" s="257">
        <f>F25*G2</f>
        <v>555000</v>
      </c>
      <c r="H25" s="251">
        <v>5</v>
      </c>
      <c r="I25" s="252">
        <f>H25*$I$2</f>
        <v>275000</v>
      </c>
    </row>
    <row r="26" spans="1:9" ht="15">
      <c r="A26" s="253" t="s">
        <v>144</v>
      </c>
      <c r="B26" s="769">
        <v>187.6</v>
      </c>
      <c r="C26" s="792">
        <f t="shared" si="2"/>
        <v>10449320</v>
      </c>
      <c r="D26" s="236">
        <v>184.01</v>
      </c>
      <c r="E26" s="236"/>
      <c r="F26" s="254">
        <v>180.4</v>
      </c>
      <c r="G26" s="236"/>
      <c r="H26" s="83"/>
      <c r="I26" s="242"/>
    </row>
    <row r="27" spans="1:9" ht="15">
      <c r="A27" s="255" t="s">
        <v>145</v>
      </c>
      <c r="B27" s="754">
        <f>1.0265*D27</f>
        <v>8.3659750000000006</v>
      </c>
      <c r="C27" s="792">
        <f t="shared" si="2"/>
        <v>465984.80750000005</v>
      </c>
      <c r="D27" s="257">
        <v>8.15</v>
      </c>
      <c r="E27" s="257"/>
      <c r="F27" s="256">
        <v>7.35</v>
      </c>
      <c r="G27" s="257"/>
      <c r="H27" s="258"/>
      <c r="I27" s="194"/>
    </row>
    <row r="28" spans="1:9" ht="15.95" thickBot="1">
      <c r="A28" s="243" t="s">
        <v>146</v>
      </c>
      <c r="B28" s="245">
        <f>SUM(B4:B27)</f>
        <v>840.30374860000006</v>
      </c>
      <c r="C28" s="245">
        <f>SUM(C4:C25)</f>
        <v>32099538.742600005</v>
      </c>
      <c r="D28" s="244">
        <f>SUM(D4:D27)</f>
        <v>819.11</v>
      </c>
      <c r="E28" s="245">
        <f>SUM(E4:E25)</f>
        <v>31223558</v>
      </c>
      <c r="F28" s="244">
        <f>SUM(F4:F27)</f>
        <v>776.22</v>
      </c>
      <c r="G28" s="245">
        <f>SUM(G4:G25)</f>
        <v>28301885</v>
      </c>
      <c r="H28" s="246">
        <f>SUM(H4:H25)</f>
        <v>463.66999999999996</v>
      </c>
      <c r="I28" s="247">
        <f>SUM(I4:I25)</f>
        <v>22039850</v>
      </c>
    </row>
    <row r="29" spans="1:9" ht="15">
      <c r="A29" s="8"/>
      <c r="B29" s="8"/>
      <c r="C29" s="8"/>
      <c r="D29" s="8"/>
      <c r="E29" s="683"/>
      <c r="F29" s="8"/>
      <c r="G29" s="8"/>
      <c r="H29" s="8"/>
      <c r="I29" s="8"/>
    </row>
    <row r="30" spans="1:9" ht="12.75" customHeight="1">
      <c r="C30" s="148"/>
    </row>
    <row r="31" spans="1:9" ht="27.95">
      <c r="B31" s="765" t="s">
        <v>147</v>
      </c>
      <c r="C31" s="768" t="s">
        <v>148</v>
      </c>
      <c r="E31" s="542"/>
      <c r="G31" s="542"/>
    </row>
    <row r="34" spans="3:3" ht="12.75" customHeight="1">
      <c r="C34" s="781"/>
    </row>
    <row r="35" spans="3:3" ht="12.75" customHeight="1">
      <c r="C35" s="148"/>
    </row>
  </sheetData>
  <conditionalFormatting sqref="C1">
    <cfRule type="containsText" dxfId="14" priority="1" operator="containsText" text="LESS">
      <formula>NOT(ISERROR(SEARCH("LESS",C1)))</formula>
    </cfRule>
    <cfRule type="containsText" dxfId="13" priority="2" operator="containsText" text="GREATER">
      <formula>NOT(ISERROR(SEARCH("GREATER",C1)))</formula>
    </cfRule>
    <cfRule type="containsText" dxfId="12" priority="3" operator="containsText" text="EQUAL">
      <formula>NOT(ISERROR(SEARCH("EQUAL",C1)))</formula>
    </cfRule>
  </conditionalFormatting>
  <conditionalFormatting sqref="E1">
    <cfRule type="containsText" dxfId="11" priority="4" operator="containsText" text="LESS">
      <formula>NOT(ISERROR(SEARCH("LESS",E1)))</formula>
    </cfRule>
    <cfRule type="containsText" dxfId="10" priority="5" operator="containsText" text="GREATER">
      <formula>NOT(ISERROR(SEARCH("GREATER",E1)))</formula>
    </cfRule>
    <cfRule type="containsText" dxfId="9" priority="6" operator="containsText" text="EQUAL">
      <formula>NOT(ISERROR(SEARCH("EQUAL",E1)))</formula>
    </cfRule>
  </conditionalFormatting>
  <conditionalFormatting sqref="G1">
    <cfRule type="containsText" dxfId="8" priority="7" operator="containsText" text="LESS">
      <formula>NOT(ISERROR(SEARCH("LESS",G1)))</formula>
    </cfRule>
    <cfRule type="containsText" dxfId="7" priority="8" operator="containsText" text="GREATER">
      <formula>NOT(ISERROR(SEARCH("GREATER",G1)))</formula>
    </cfRule>
    <cfRule type="containsText" dxfId="6" priority="9" operator="containsText" text="EQUAL">
      <formula>NOT(ISERROR(SEARCH("EQUAL",G1)))</formula>
    </cfRule>
  </conditionalFormatting>
  <conditionalFormatting sqref="I1">
    <cfRule type="containsText" dxfId="5" priority="10" operator="containsText" text="LESS">
      <formula>NOT(ISERROR(SEARCH("LESS",I1)))</formula>
    </cfRule>
    <cfRule type="containsText" dxfId="4" priority="11" operator="containsText" text="GREATER">
      <formula>NOT(ISERROR(SEARCH("GREATER",I1)))</formula>
    </cfRule>
    <cfRule type="containsText" dxfId="3" priority="12" operator="containsText" text="EQUAL">
      <formula>NOT(ISERROR(SEARCH("EQUAL",I1)))</formula>
    </cfRule>
  </conditionalFormatting>
  <hyperlinks>
    <hyperlink ref="C31" r:id="rId1" xr:uid="{65A33F77-6D2C-418F-9FDE-A07A2EFF28C1}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1"/>
  <sheetViews>
    <sheetView tabSelected="1" zoomScale="106" zoomScaleNormal="106" workbookViewId="0">
      <pane ySplit="1" topLeftCell="A2" activePane="bottomLeft" state="frozen"/>
      <selection pane="bottomLeft" activeCell="F176" sqref="F176"/>
    </sheetView>
  </sheetViews>
  <sheetFormatPr defaultColWidth="11.42578125" defaultRowHeight="15" customHeight="1"/>
  <cols>
    <col min="1" max="1" width="48.28515625" style="1" customWidth="1"/>
    <col min="2" max="3" width="23.42578125" style="1" customWidth="1"/>
    <col min="4" max="4" width="23.42578125" style="1" hidden="1" customWidth="1"/>
    <col min="5" max="9" width="23.42578125" style="108" customWidth="1"/>
    <col min="10" max="10" width="15.140625" style="1" customWidth="1"/>
    <col min="11" max="11" width="11.85546875" style="1" bestFit="1" customWidth="1"/>
    <col min="12" max="16384" width="11.42578125" style="1"/>
  </cols>
  <sheetData>
    <row r="1" spans="1:10" ht="45" customHeight="1">
      <c r="A1" s="708" t="s">
        <v>149</v>
      </c>
      <c r="B1" s="711" t="s">
        <v>150</v>
      </c>
      <c r="C1" s="697" t="s">
        <v>151</v>
      </c>
      <c r="D1" s="697" t="s">
        <v>4</v>
      </c>
      <c r="E1" s="697" t="s">
        <v>5</v>
      </c>
      <c r="F1" s="697" t="s">
        <v>152</v>
      </c>
      <c r="G1" s="652" t="s">
        <v>153</v>
      </c>
      <c r="H1" s="697" t="s">
        <v>154</v>
      </c>
      <c r="I1" s="713" t="s">
        <v>14</v>
      </c>
    </row>
    <row r="2" spans="1:10">
      <c r="A2" s="259" t="s">
        <v>155</v>
      </c>
      <c r="B2" s="41" t="s">
        <v>156</v>
      </c>
      <c r="C2" s="94"/>
      <c r="D2" s="94"/>
      <c r="E2" s="94"/>
      <c r="F2" s="94"/>
      <c r="G2" s="622"/>
      <c r="H2" s="94"/>
      <c r="I2" s="260"/>
    </row>
    <row r="3" spans="1:10">
      <c r="A3" s="261" t="s">
        <v>157</v>
      </c>
      <c r="B3" s="33"/>
      <c r="C3" s="33"/>
      <c r="D3" s="95"/>
      <c r="E3" s="95"/>
      <c r="F3" s="95"/>
      <c r="G3" s="627"/>
      <c r="H3" s="95"/>
      <c r="I3" s="262"/>
    </row>
    <row r="4" spans="1:10">
      <c r="A4" s="263" t="s">
        <v>158</v>
      </c>
      <c r="B4" s="4" t="s">
        <v>159</v>
      </c>
      <c r="C4" s="793">
        <v>45729</v>
      </c>
      <c r="D4" s="96"/>
      <c r="E4" s="96">
        <v>44547.6</v>
      </c>
      <c r="F4" s="96">
        <f>42958.15*(1+0.037)</f>
        <v>44547.601549999999</v>
      </c>
      <c r="G4" s="628">
        <v>42958.15</v>
      </c>
      <c r="H4" s="96">
        <v>42958.15</v>
      </c>
      <c r="I4" s="264">
        <v>40185.824000000001</v>
      </c>
    </row>
    <row r="5" spans="1:10">
      <c r="A5" s="263" t="s">
        <v>160</v>
      </c>
      <c r="B5" s="4" t="s">
        <v>161</v>
      </c>
      <c r="C5" s="793">
        <v>7919.88</v>
      </c>
      <c r="D5" s="96"/>
      <c r="E5" s="96">
        <v>10035.219999999999</v>
      </c>
      <c r="F5" s="96">
        <f>7369.126+2500</f>
        <v>9869.1260000000002</v>
      </c>
      <c r="G5" s="628">
        <v>6850</v>
      </c>
      <c r="H5" s="96">
        <v>6850</v>
      </c>
      <c r="I5" s="264">
        <v>6825</v>
      </c>
    </row>
    <row r="6" spans="1:10">
      <c r="A6" s="263" t="s">
        <v>162</v>
      </c>
      <c r="B6" s="4" t="s">
        <v>159</v>
      </c>
      <c r="C6" s="793">
        <v>2500</v>
      </c>
      <c r="D6" s="96"/>
      <c r="E6" s="96"/>
      <c r="F6" s="96"/>
      <c r="G6" s="628"/>
      <c r="H6" s="96"/>
      <c r="I6" s="264"/>
    </row>
    <row r="7" spans="1:10">
      <c r="A7" s="263" t="s">
        <v>163</v>
      </c>
      <c r="B7" s="4" t="s">
        <v>159</v>
      </c>
      <c r="C7" s="793">
        <v>62400</v>
      </c>
      <c r="D7" s="96"/>
      <c r="E7" s="96">
        <v>50970</v>
      </c>
      <c r="F7" s="96">
        <v>45270</v>
      </c>
      <c r="G7" s="628">
        <v>39520</v>
      </c>
      <c r="H7" s="96">
        <v>37440</v>
      </c>
      <c r="I7" s="264">
        <v>78780</v>
      </c>
    </row>
    <row r="8" spans="1:10">
      <c r="A8" s="263" t="s">
        <v>164</v>
      </c>
      <c r="B8" s="4" t="s">
        <v>161</v>
      </c>
      <c r="C8" s="793">
        <v>7960.8</v>
      </c>
      <c r="D8" s="96"/>
      <c r="E8" s="96">
        <v>7726.37</v>
      </c>
      <c r="F8" s="96">
        <v>4804</v>
      </c>
      <c r="G8" s="628">
        <v>3335.49</v>
      </c>
      <c r="H8" s="96">
        <v>1872</v>
      </c>
      <c r="I8" s="264">
        <v>3939</v>
      </c>
      <c r="J8" s="108"/>
    </row>
    <row r="9" spans="1:10">
      <c r="A9" s="261" t="s">
        <v>165</v>
      </c>
      <c r="B9" s="33"/>
      <c r="C9" s="95"/>
      <c r="D9" s="95"/>
      <c r="E9" s="95"/>
      <c r="F9" s="95"/>
      <c r="G9" s="627"/>
      <c r="H9" s="95"/>
      <c r="I9" s="262"/>
      <c r="J9" s="108"/>
    </row>
    <row r="10" spans="1:10">
      <c r="A10" s="263" t="s">
        <v>166</v>
      </c>
      <c r="B10" s="4" t="s">
        <v>167</v>
      </c>
      <c r="C10" s="96">
        <v>1700</v>
      </c>
      <c r="D10" s="96"/>
      <c r="E10" s="96">
        <v>2550</v>
      </c>
      <c r="F10" s="96">
        <v>2191.7199999999998</v>
      </c>
      <c r="G10" s="628">
        <v>460</v>
      </c>
      <c r="H10" s="96">
        <v>460</v>
      </c>
      <c r="I10" s="264">
        <v>1150</v>
      </c>
    </row>
    <row r="11" spans="1:10">
      <c r="A11" s="263" t="s">
        <v>168</v>
      </c>
      <c r="B11" s="4" t="s">
        <v>169</v>
      </c>
      <c r="C11" s="96"/>
      <c r="D11" s="96"/>
      <c r="E11" s="96"/>
      <c r="F11" s="96"/>
      <c r="G11" s="626"/>
      <c r="H11" s="96"/>
      <c r="I11" s="264"/>
    </row>
    <row r="12" spans="1:10">
      <c r="A12" s="261" t="s">
        <v>170</v>
      </c>
      <c r="B12" s="33"/>
      <c r="C12" s="95"/>
      <c r="D12" s="95"/>
      <c r="E12" s="95"/>
      <c r="F12" s="95"/>
      <c r="G12" s="627"/>
      <c r="H12" s="95"/>
      <c r="I12" s="262"/>
    </row>
    <row r="13" spans="1:10">
      <c r="A13" s="263" t="s">
        <v>171</v>
      </c>
      <c r="B13" s="4" t="s">
        <v>172</v>
      </c>
      <c r="C13" s="96">
        <v>1200</v>
      </c>
      <c r="D13" s="96"/>
      <c r="E13" s="96">
        <v>1200</v>
      </c>
      <c r="F13" s="96">
        <v>1200</v>
      </c>
      <c r="G13" s="628">
        <v>500</v>
      </c>
      <c r="H13" s="96">
        <v>500</v>
      </c>
      <c r="I13" s="264"/>
    </row>
    <row r="14" spans="1:10">
      <c r="A14" s="263" t="s">
        <v>173</v>
      </c>
      <c r="B14" s="4" t="s">
        <v>174</v>
      </c>
      <c r="C14" s="96">
        <v>200</v>
      </c>
      <c r="D14" s="96"/>
      <c r="E14" s="96">
        <v>200</v>
      </c>
      <c r="F14" s="96">
        <v>200</v>
      </c>
      <c r="G14" s="628">
        <v>200</v>
      </c>
      <c r="H14" s="96">
        <v>200</v>
      </c>
      <c r="I14" s="264">
        <v>400</v>
      </c>
    </row>
    <row r="15" spans="1:10">
      <c r="A15" s="263" t="s">
        <v>175</v>
      </c>
      <c r="B15" s="4" t="s">
        <v>176</v>
      </c>
      <c r="C15" s="96">
        <v>0</v>
      </c>
      <c r="D15" s="96"/>
      <c r="E15" s="96">
        <v>0</v>
      </c>
      <c r="F15" s="96">
        <v>0</v>
      </c>
      <c r="G15" s="626" t="s">
        <v>177</v>
      </c>
      <c r="H15" s="96">
        <v>0</v>
      </c>
      <c r="I15" s="264" t="s">
        <v>178</v>
      </c>
    </row>
    <row r="16" spans="1:10">
      <c r="A16" s="263" t="s">
        <v>179</v>
      </c>
      <c r="B16" s="4" t="s">
        <v>180</v>
      </c>
      <c r="C16" s="96">
        <v>100</v>
      </c>
      <c r="D16" s="96"/>
      <c r="E16" s="96">
        <v>100</v>
      </c>
      <c r="F16" s="96">
        <v>100</v>
      </c>
      <c r="G16" s="628">
        <v>100</v>
      </c>
      <c r="H16" s="96">
        <v>100</v>
      </c>
      <c r="I16" s="264">
        <v>100</v>
      </c>
    </row>
    <row r="17" spans="1:9">
      <c r="A17" s="261" t="s">
        <v>181</v>
      </c>
      <c r="B17" s="33"/>
      <c r="C17" s="95"/>
      <c r="D17" s="95"/>
      <c r="E17" s="95"/>
      <c r="F17" s="95"/>
      <c r="G17" s="627"/>
      <c r="H17" s="95"/>
      <c r="I17" s="262"/>
    </row>
    <row r="18" spans="1:9">
      <c r="A18" s="263" t="s">
        <v>182</v>
      </c>
      <c r="B18" s="4" t="s">
        <v>183</v>
      </c>
      <c r="C18" s="96">
        <v>100</v>
      </c>
      <c r="D18" s="96"/>
      <c r="E18" s="96">
        <v>100</v>
      </c>
      <c r="F18" s="96">
        <v>100</v>
      </c>
      <c r="G18" s="628">
        <v>100</v>
      </c>
      <c r="H18" s="96">
        <v>100</v>
      </c>
      <c r="I18" s="264">
        <v>250</v>
      </c>
    </row>
    <row r="19" spans="1:9">
      <c r="A19" s="263" t="s">
        <v>184</v>
      </c>
      <c r="B19" s="4" t="s">
        <v>185</v>
      </c>
      <c r="C19" s="96">
        <v>1208</v>
      </c>
      <c r="D19" s="96"/>
      <c r="E19" s="96">
        <v>1208</v>
      </c>
      <c r="F19" s="96">
        <v>500</v>
      </c>
      <c r="G19" s="628">
        <v>500</v>
      </c>
      <c r="H19" s="96">
        <v>500</v>
      </c>
      <c r="I19" s="264">
        <v>1110</v>
      </c>
    </row>
    <row r="20" spans="1:9">
      <c r="A20" s="261" t="s">
        <v>186</v>
      </c>
      <c r="B20" s="33"/>
      <c r="C20" s="95"/>
      <c r="D20" s="95"/>
      <c r="E20" s="95"/>
      <c r="F20" s="95"/>
      <c r="G20" s="627"/>
      <c r="H20" s="95"/>
      <c r="I20" s="262"/>
    </row>
    <row r="21" spans="1:9">
      <c r="A21" s="263" t="s">
        <v>187</v>
      </c>
      <c r="B21" s="4" t="s">
        <v>188</v>
      </c>
      <c r="C21" s="96">
        <v>1750</v>
      </c>
      <c r="D21" s="96"/>
      <c r="E21" s="96">
        <v>1750</v>
      </c>
      <c r="F21" s="96">
        <v>1000</v>
      </c>
      <c r="G21" s="628">
        <v>1000</v>
      </c>
      <c r="H21" s="96">
        <v>1000</v>
      </c>
      <c r="I21" s="264">
        <v>3000</v>
      </c>
    </row>
    <row r="22" spans="1:9">
      <c r="A22" s="263" t="s">
        <v>189</v>
      </c>
      <c r="B22" s="5" t="s">
        <v>190</v>
      </c>
      <c r="C22" s="96">
        <v>750</v>
      </c>
      <c r="D22" s="96"/>
      <c r="E22" s="96">
        <v>750</v>
      </c>
      <c r="F22" s="96">
        <v>400</v>
      </c>
      <c r="G22" s="628">
        <v>400</v>
      </c>
      <c r="H22" s="96">
        <v>400</v>
      </c>
      <c r="I22" s="264">
        <v>600</v>
      </c>
    </row>
    <row r="23" spans="1:9">
      <c r="A23" s="261" t="s">
        <v>191</v>
      </c>
      <c r="B23" s="33"/>
      <c r="C23" s="95"/>
      <c r="D23" s="95"/>
      <c r="E23" s="95"/>
      <c r="F23" s="95"/>
      <c r="G23" s="627"/>
      <c r="H23" s="95"/>
      <c r="I23" s="262"/>
    </row>
    <row r="24" spans="1:9">
      <c r="A24" s="263" t="s">
        <v>192</v>
      </c>
      <c r="B24" s="4" t="s">
        <v>193</v>
      </c>
      <c r="C24" s="793">
        <v>0</v>
      </c>
      <c r="D24" s="96"/>
      <c r="E24" s="96">
        <v>8000</v>
      </c>
      <c r="F24" s="96">
        <v>6000</v>
      </c>
      <c r="G24" s="628">
        <v>10000</v>
      </c>
      <c r="H24" s="96">
        <v>10000</v>
      </c>
      <c r="I24" s="264">
        <v>20000</v>
      </c>
    </row>
    <row r="25" spans="1:9">
      <c r="A25" s="263" t="s">
        <v>194</v>
      </c>
      <c r="B25" s="4" t="s">
        <v>195</v>
      </c>
      <c r="C25" s="96"/>
      <c r="D25" s="96"/>
      <c r="E25" s="96"/>
      <c r="F25" s="96"/>
      <c r="G25" s="626"/>
      <c r="H25" s="96"/>
      <c r="I25" s="264" t="s">
        <v>178</v>
      </c>
    </row>
    <row r="26" spans="1:9" ht="15.95" thickBot="1">
      <c r="A26" s="265" t="s">
        <v>196</v>
      </c>
      <c r="B26" s="44"/>
      <c r="C26" s="97">
        <f>SUM(C4:C25)</f>
        <v>133517.68</v>
      </c>
      <c r="D26" s="97">
        <f>SUM(D4:D25)</f>
        <v>0</v>
      </c>
      <c r="E26" s="97">
        <f t="shared" ref="E26:F26" si="0">SUM(E4:E25)</f>
        <v>129137.19</v>
      </c>
      <c r="F26" s="97">
        <f t="shared" si="0"/>
        <v>116182.44755</v>
      </c>
      <c r="G26" s="638">
        <v>105923.64</v>
      </c>
      <c r="H26" s="97">
        <f t="shared" ref="H26" si="1">SUM(H4:H25)</f>
        <v>102380.15</v>
      </c>
      <c r="I26" s="266">
        <v>156339.82399999999</v>
      </c>
    </row>
    <row r="27" spans="1:9">
      <c r="A27" s="267" t="s">
        <v>197</v>
      </c>
      <c r="B27" s="32" t="s">
        <v>198</v>
      </c>
      <c r="C27" s="98"/>
      <c r="D27" s="98"/>
      <c r="E27" s="98"/>
      <c r="F27" s="98"/>
      <c r="G27" s="644"/>
      <c r="H27" s="98"/>
      <c r="I27" s="268"/>
    </row>
    <row r="28" spans="1:9">
      <c r="A28" s="261" t="s">
        <v>157</v>
      </c>
      <c r="B28" s="33"/>
      <c r="C28" s="95"/>
      <c r="D28" s="95"/>
      <c r="E28" s="95"/>
      <c r="F28" s="95"/>
      <c r="G28" s="627"/>
      <c r="H28" s="95"/>
      <c r="I28" s="262"/>
    </row>
    <row r="29" spans="1:9">
      <c r="A29" s="263" t="s">
        <v>199</v>
      </c>
      <c r="B29" s="4" t="s">
        <v>200</v>
      </c>
      <c r="C29" s="793">
        <v>45729</v>
      </c>
      <c r="D29" s="793"/>
      <c r="E29" s="96">
        <v>44547.6</v>
      </c>
      <c r="F29" s="96">
        <f>42958.15*(1+0.037)</f>
        <v>44547.601549999999</v>
      </c>
      <c r="G29" s="628">
        <v>42958.15</v>
      </c>
      <c r="H29" s="96">
        <v>42958.15</v>
      </c>
      <c r="I29" s="264">
        <v>40185.824000000001</v>
      </c>
    </row>
    <row r="30" spans="1:9">
      <c r="A30" s="263" t="s">
        <v>201</v>
      </c>
      <c r="B30" s="4" t="s">
        <v>202</v>
      </c>
      <c r="C30" s="793">
        <v>7919.88</v>
      </c>
      <c r="D30" s="793"/>
      <c r="E30" s="96">
        <v>10035.219999999999</v>
      </c>
      <c r="F30" s="96">
        <f>7369.126+2500</f>
        <v>9869.1260000000002</v>
      </c>
      <c r="G30" s="628">
        <v>6850</v>
      </c>
      <c r="H30" s="96">
        <v>6850</v>
      </c>
      <c r="I30" s="264">
        <v>6825</v>
      </c>
    </row>
    <row r="31" spans="1:9">
      <c r="A31" s="263" t="s">
        <v>162</v>
      </c>
      <c r="B31" s="4"/>
      <c r="C31" s="793">
        <v>2500</v>
      </c>
      <c r="D31" s="793"/>
      <c r="E31" s="96"/>
      <c r="F31" s="96"/>
      <c r="G31" s="628"/>
      <c r="H31" s="96"/>
      <c r="I31" s="264"/>
    </row>
    <row r="32" spans="1:9">
      <c r="A32" s="263" t="s">
        <v>203</v>
      </c>
      <c r="B32" s="4" t="s">
        <v>200</v>
      </c>
      <c r="C32" s="793">
        <v>54710</v>
      </c>
      <c r="D32" s="793"/>
      <c r="E32" s="96">
        <v>44040</v>
      </c>
      <c r="F32" s="96">
        <v>37620</v>
      </c>
      <c r="G32" s="628">
        <v>39520</v>
      </c>
      <c r="H32" s="96">
        <v>37440</v>
      </c>
      <c r="I32" s="264">
        <v>41019</v>
      </c>
    </row>
    <row r="33" spans="1:9">
      <c r="A33" s="263" t="s">
        <v>164</v>
      </c>
      <c r="B33" s="4" t="s">
        <v>202</v>
      </c>
      <c r="C33" s="793">
        <v>6144.59</v>
      </c>
      <c r="D33" s="793"/>
      <c r="E33" s="96">
        <v>6042.18</v>
      </c>
      <c r="F33" s="96">
        <v>8346.06</v>
      </c>
      <c r="G33" s="628">
        <v>3335.49</v>
      </c>
      <c r="H33" s="96">
        <v>1872</v>
      </c>
      <c r="I33" s="264">
        <v>2050.9500000000003</v>
      </c>
    </row>
    <row r="34" spans="1:9">
      <c r="A34" s="261" t="s">
        <v>165</v>
      </c>
      <c r="B34" s="33"/>
      <c r="C34" s="95"/>
      <c r="D34" s="95"/>
      <c r="E34" s="95"/>
      <c r="F34" s="95"/>
      <c r="G34" s="627"/>
      <c r="H34" s="95"/>
      <c r="I34" s="262"/>
    </row>
    <row r="35" spans="1:9">
      <c r="A35" s="263" t="s">
        <v>166</v>
      </c>
      <c r="B35" s="4" t="s">
        <v>204</v>
      </c>
      <c r="C35" s="96">
        <v>1700</v>
      </c>
      <c r="D35" s="96"/>
      <c r="E35" s="96">
        <v>1700</v>
      </c>
      <c r="F35" s="96">
        <v>1245.05</v>
      </c>
      <c r="G35" s="628">
        <v>460</v>
      </c>
      <c r="H35" s="96">
        <v>460</v>
      </c>
      <c r="I35" s="264">
        <v>690</v>
      </c>
    </row>
    <row r="36" spans="1:9">
      <c r="A36" s="263" t="s">
        <v>168</v>
      </c>
      <c r="B36" s="4" t="s">
        <v>205</v>
      </c>
      <c r="C36" s="96"/>
      <c r="D36" s="96"/>
      <c r="E36" s="96"/>
      <c r="F36" s="96"/>
      <c r="G36" s="626"/>
      <c r="H36" s="96"/>
      <c r="I36" s="264" t="s">
        <v>178</v>
      </c>
    </row>
    <row r="37" spans="1:9">
      <c r="A37" s="261" t="s">
        <v>170</v>
      </c>
      <c r="B37" s="33"/>
      <c r="C37" s="95"/>
      <c r="D37" s="95"/>
      <c r="E37" s="95"/>
      <c r="F37" s="95"/>
      <c r="G37" s="627"/>
      <c r="H37" s="95"/>
      <c r="I37" s="269"/>
    </row>
    <row r="38" spans="1:9">
      <c r="A38" s="263" t="s">
        <v>171</v>
      </c>
      <c r="B38" s="4" t="s">
        <v>206</v>
      </c>
      <c r="C38" s="96">
        <v>1200</v>
      </c>
      <c r="D38" s="96"/>
      <c r="E38" s="96">
        <v>1200</v>
      </c>
      <c r="F38" s="96">
        <v>1200</v>
      </c>
      <c r="G38" s="628">
        <v>500</v>
      </c>
      <c r="H38" s="96">
        <v>500</v>
      </c>
      <c r="I38" s="264">
        <v>500</v>
      </c>
    </row>
    <row r="39" spans="1:9">
      <c r="A39" s="263" t="s">
        <v>173</v>
      </c>
      <c r="B39" s="4" t="s">
        <v>207</v>
      </c>
      <c r="C39" s="96">
        <v>200</v>
      </c>
      <c r="D39" s="96"/>
      <c r="E39" s="96">
        <v>200</v>
      </c>
      <c r="F39" s="96">
        <v>200</v>
      </c>
      <c r="G39" s="628">
        <v>200</v>
      </c>
      <c r="H39" s="96">
        <v>200</v>
      </c>
      <c r="I39" s="264">
        <v>300</v>
      </c>
    </row>
    <row r="40" spans="1:9">
      <c r="A40" s="263" t="s">
        <v>175</v>
      </c>
      <c r="B40" s="4" t="s">
        <v>208</v>
      </c>
      <c r="C40" s="96">
        <v>0</v>
      </c>
      <c r="D40" s="96"/>
      <c r="E40" s="96">
        <v>0</v>
      </c>
      <c r="F40" s="96">
        <v>0</v>
      </c>
      <c r="G40" s="626" t="s">
        <v>177</v>
      </c>
      <c r="H40" s="96">
        <v>0</v>
      </c>
      <c r="I40" s="264">
        <v>50</v>
      </c>
    </row>
    <row r="41" spans="1:9">
      <c r="A41" s="263" t="s">
        <v>179</v>
      </c>
      <c r="B41" s="4" t="s">
        <v>209</v>
      </c>
      <c r="C41" s="96">
        <v>100</v>
      </c>
      <c r="D41" s="96"/>
      <c r="E41" s="96">
        <v>100</v>
      </c>
      <c r="F41" s="96">
        <v>100</v>
      </c>
      <c r="G41" s="628">
        <v>100</v>
      </c>
      <c r="H41" s="96">
        <v>100</v>
      </c>
      <c r="I41" s="264">
        <v>100</v>
      </c>
    </row>
    <row r="42" spans="1:9">
      <c r="A42" s="261" t="s">
        <v>181</v>
      </c>
      <c r="B42" s="33"/>
      <c r="C42" s="95"/>
      <c r="D42" s="95"/>
      <c r="E42" s="95"/>
      <c r="F42" s="95"/>
      <c r="G42" s="627"/>
      <c r="H42" s="95"/>
      <c r="I42" s="269"/>
    </row>
    <row r="43" spans="1:9">
      <c r="A43" s="263" t="s">
        <v>182</v>
      </c>
      <c r="B43" s="4" t="s">
        <v>210</v>
      </c>
      <c r="C43" s="96">
        <v>100</v>
      </c>
      <c r="D43" s="96"/>
      <c r="E43" s="96">
        <v>100</v>
      </c>
      <c r="F43" s="96">
        <v>100</v>
      </c>
      <c r="G43" s="628">
        <v>100</v>
      </c>
      <c r="H43" s="96">
        <v>100</v>
      </c>
      <c r="I43" s="264">
        <v>80</v>
      </c>
    </row>
    <row r="44" spans="1:9">
      <c r="A44" s="263" t="s">
        <v>184</v>
      </c>
      <c r="B44" s="4" t="s">
        <v>211</v>
      </c>
      <c r="C44" s="96">
        <v>2447</v>
      </c>
      <c r="D44" s="96"/>
      <c r="E44" s="96">
        <v>2447</v>
      </c>
      <c r="F44" s="96">
        <v>200</v>
      </c>
      <c r="G44" s="628">
        <v>200</v>
      </c>
      <c r="H44" s="96">
        <v>200</v>
      </c>
      <c r="I44" s="270">
        <v>300</v>
      </c>
    </row>
    <row r="45" spans="1:9">
      <c r="A45" s="261" t="s">
        <v>186</v>
      </c>
      <c r="B45" s="33"/>
      <c r="C45" s="95"/>
      <c r="D45" s="95"/>
      <c r="E45" s="95"/>
      <c r="F45" s="95"/>
      <c r="G45" s="627"/>
      <c r="H45" s="95"/>
      <c r="I45" s="269"/>
    </row>
    <row r="46" spans="1:9">
      <c r="A46" s="263" t="s">
        <v>187</v>
      </c>
      <c r="B46" s="4" t="s">
        <v>212</v>
      </c>
      <c r="C46" s="96">
        <v>1500</v>
      </c>
      <c r="D46" s="96"/>
      <c r="E46" s="96">
        <v>1500</v>
      </c>
      <c r="F46" s="96">
        <v>1500</v>
      </c>
      <c r="G46" s="628">
        <v>1500</v>
      </c>
      <c r="H46" s="96">
        <v>1000</v>
      </c>
      <c r="I46" s="264">
        <v>3000</v>
      </c>
    </row>
    <row r="47" spans="1:9">
      <c r="A47" s="263" t="s">
        <v>189</v>
      </c>
      <c r="B47" s="5" t="s">
        <v>213</v>
      </c>
      <c r="C47" s="96">
        <v>750</v>
      </c>
      <c r="D47" s="96"/>
      <c r="E47" s="96">
        <v>750</v>
      </c>
      <c r="F47" s="96">
        <v>750</v>
      </c>
      <c r="G47" s="628">
        <v>750</v>
      </c>
      <c r="H47" s="96">
        <v>750</v>
      </c>
      <c r="I47" s="264">
        <v>300</v>
      </c>
    </row>
    <row r="48" spans="1:9">
      <c r="A48" s="261" t="s">
        <v>191</v>
      </c>
      <c r="B48" s="33"/>
      <c r="C48" s="95"/>
      <c r="D48" s="95"/>
      <c r="E48" s="95"/>
      <c r="F48" s="95"/>
      <c r="G48" s="627"/>
      <c r="H48" s="95"/>
      <c r="I48" s="269"/>
    </row>
    <row r="49" spans="1:11">
      <c r="A49" s="661" t="s">
        <v>214</v>
      </c>
      <c r="B49" s="794" t="s">
        <v>215</v>
      </c>
      <c r="C49" s="793">
        <v>1000</v>
      </c>
      <c r="D49" s="793"/>
      <c r="E49" s="663">
        <v>2000</v>
      </c>
      <c r="F49" s="663">
        <v>2000</v>
      </c>
      <c r="G49" s="628">
        <v>2000</v>
      </c>
      <c r="H49" s="96">
        <v>2000</v>
      </c>
      <c r="I49" s="264">
        <v>2000</v>
      </c>
    </row>
    <row r="50" spans="1:11">
      <c r="A50" s="661" t="s">
        <v>216</v>
      </c>
      <c r="B50" s="794" t="s">
        <v>215</v>
      </c>
      <c r="C50" s="793">
        <v>2000</v>
      </c>
      <c r="D50" s="793"/>
      <c r="E50" s="663">
        <v>10560</v>
      </c>
      <c r="F50" s="663">
        <v>10000</v>
      </c>
      <c r="G50" s="628">
        <v>10000</v>
      </c>
      <c r="H50" s="96">
        <v>10000</v>
      </c>
      <c r="I50" s="271">
        <v>10000</v>
      </c>
    </row>
    <row r="51" spans="1:11">
      <c r="A51" s="664" t="s">
        <v>217</v>
      </c>
      <c r="B51" s="794" t="s">
        <v>218</v>
      </c>
      <c r="C51" s="793">
        <v>14500</v>
      </c>
      <c r="D51" s="793"/>
      <c r="E51" s="663">
        <v>9500</v>
      </c>
      <c r="F51" s="663">
        <v>9500</v>
      </c>
      <c r="G51" s="628">
        <v>14500</v>
      </c>
      <c r="H51" s="96">
        <v>14500</v>
      </c>
      <c r="I51" s="271">
        <v>14500</v>
      </c>
    </row>
    <row r="52" spans="1:11">
      <c r="A52" s="664" t="s">
        <v>219</v>
      </c>
      <c r="B52" s="794" t="s">
        <v>220</v>
      </c>
      <c r="C52" s="793">
        <v>2000</v>
      </c>
      <c r="D52" s="793"/>
      <c r="E52" s="663"/>
      <c r="F52" s="663"/>
      <c r="G52" s="628"/>
      <c r="H52" s="96"/>
      <c r="I52" s="271"/>
    </row>
    <row r="53" spans="1:11">
      <c r="A53" s="664" t="s">
        <v>221</v>
      </c>
      <c r="B53" s="794" t="s">
        <v>215</v>
      </c>
      <c r="C53" s="793"/>
      <c r="D53" s="793"/>
      <c r="E53" s="663">
        <v>2000</v>
      </c>
      <c r="F53" s="663">
        <v>2000</v>
      </c>
      <c r="G53" s="628">
        <v>2000</v>
      </c>
      <c r="H53" s="96">
        <v>2000</v>
      </c>
      <c r="I53" s="271">
        <v>3000</v>
      </c>
    </row>
    <row r="54" spans="1:11">
      <c r="A54" s="664" t="s">
        <v>222</v>
      </c>
      <c r="B54" s="794" t="s">
        <v>215</v>
      </c>
      <c r="C54" s="793">
        <v>8500</v>
      </c>
      <c r="D54" s="793"/>
      <c r="E54" s="663"/>
      <c r="F54" s="663"/>
      <c r="G54" s="628"/>
      <c r="H54" s="96"/>
      <c r="I54" s="271"/>
    </row>
    <row r="55" spans="1:11">
      <c r="A55" s="263" t="s">
        <v>223</v>
      </c>
      <c r="B55" s="4" t="s">
        <v>224</v>
      </c>
      <c r="C55" s="96"/>
      <c r="D55" s="793"/>
      <c r="E55" s="96"/>
      <c r="F55" s="96"/>
      <c r="G55" s="626"/>
      <c r="H55" s="96"/>
      <c r="I55" s="271"/>
    </row>
    <row r="56" spans="1:11">
      <c r="A56" s="253" t="s">
        <v>225</v>
      </c>
      <c r="B56" s="4" t="s">
        <v>226</v>
      </c>
      <c r="C56" s="96">
        <v>-19000</v>
      </c>
      <c r="D56" s="793"/>
      <c r="E56" s="96">
        <f>-14000-5000</f>
        <v>-19000</v>
      </c>
      <c r="F56" s="96">
        <f>-14000-5000</f>
        <v>-19000</v>
      </c>
      <c r="G56" s="626"/>
      <c r="H56" s="96"/>
      <c r="I56" s="271"/>
    </row>
    <row r="57" spans="1:11" ht="15.95" thickBot="1">
      <c r="A57" s="265" t="s">
        <v>196</v>
      </c>
      <c r="B57" s="44"/>
      <c r="C57" s="97">
        <f>SUM(C29:C56)</f>
        <v>134000.47</v>
      </c>
      <c r="D57" s="97">
        <f>SUM(D29:D56)</f>
        <v>0</v>
      </c>
      <c r="E57" s="97">
        <f>SUM(E29:E56)</f>
        <v>117722</v>
      </c>
      <c r="F57" s="97">
        <f>SUM(F29:F56)</f>
        <v>110177.83755</v>
      </c>
      <c r="G57" s="638">
        <v>124973.64</v>
      </c>
      <c r="H57" s="97">
        <f t="shared" ref="H57" si="2">SUM(H29:H56)</f>
        <v>120930.15</v>
      </c>
      <c r="I57" s="272">
        <v>124900.77399999999</v>
      </c>
    </row>
    <row r="58" spans="1:11">
      <c r="A58" s="267" t="s">
        <v>227</v>
      </c>
      <c r="B58" s="32" t="s">
        <v>228</v>
      </c>
      <c r="C58" s="98"/>
      <c r="D58" s="98"/>
      <c r="E58" s="98"/>
      <c r="F58" s="98"/>
      <c r="G58" s="644"/>
      <c r="H58" s="98"/>
      <c r="I58" s="268"/>
    </row>
    <row r="59" spans="1:11">
      <c r="A59" s="261" t="s">
        <v>157</v>
      </c>
      <c r="B59" s="42"/>
      <c r="C59" s="99"/>
      <c r="D59" s="99"/>
      <c r="E59" s="99"/>
      <c r="F59" s="99"/>
      <c r="G59" s="627"/>
      <c r="H59" s="99"/>
      <c r="I59" s="273"/>
    </row>
    <row r="60" spans="1:11">
      <c r="A60" s="263" t="s">
        <v>229</v>
      </c>
      <c r="B60" s="5" t="s">
        <v>230</v>
      </c>
      <c r="C60" s="793">
        <v>45729</v>
      </c>
      <c r="D60" s="779">
        <v>45729</v>
      </c>
      <c r="E60" s="96">
        <v>44547.6</v>
      </c>
      <c r="F60" s="110">
        <f>42958*(1+0.037)</f>
        <v>44547.445999999996</v>
      </c>
      <c r="G60" s="628">
        <v>42958</v>
      </c>
      <c r="H60" s="110">
        <v>42958</v>
      </c>
      <c r="I60" s="270">
        <v>40185.824000000001</v>
      </c>
    </row>
    <row r="61" spans="1:11">
      <c r="A61" s="263" t="s">
        <v>231</v>
      </c>
      <c r="B61" s="5" t="s">
        <v>232</v>
      </c>
      <c r="C61" s="793">
        <v>7919.88</v>
      </c>
      <c r="D61" s="779">
        <v>7919.88</v>
      </c>
      <c r="E61" s="96">
        <v>10035.219999999999</v>
      </c>
      <c r="F61" s="110">
        <f>7369.126+2500</f>
        <v>9869.1260000000002</v>
      </c>
      <c r="G61" s="628">
        <v>6850</v>
      </c>
      <c r="H61" s="110">
        <v>6850</v>
      </c>
      <c r="I61" s="270">
        <v>6825</v>
      </c>
      <c r="K61" s="108"/>
    </row>
    <row r="62" spans="1:11">
      <c r="A62" s="263" t="s">
        <v>162</v>
      </c>
      <c r="B62" s="5"/>
      <c r="C62" s="793">
        <v>2500</v>
      </c>
      <c r="D62" s="779">
        <v>2500</v>
      </c>
      <c r="E62" s="96"/>
      <c r="F62" s="110"/>
      <c r="G62" s="628"/>
      <c r="H62" s="110"/>
      <c r="I62" s="270"/>
      <c r="K62" s="108"/>
    </row>
    <row r="63" spans="1:11">
      <c r="A63" s="263" t="s">
        <v>203</v>
      </c>
      <c r="B63" s="5" t="s">
        <v>233</v>
      </c>
      <c r="C63" s="795">
        <v>101450</v>
      </c>
      <c r="D63" s="780">
        <v>101450</v>
      </c>
      <c r="E63" s="110">
        <v>96220</v>
      </c>
      <c r="F63" s="110">
        <v>96220</v>
      </c>
      <c r="G63" s="628">
        <v>115440</v>
      </c>
      <c r="H63" s="110">
        <v>100360</v>
      </c>
      <c r="I63" s="270">
        <v>136888.79999999999</v>
      </c>
      <c r="K63" s="108"/>
    </row>
    <row r="64" spans="1:11">
      <c r="A64" s="263" t="s">
        <v>164</v>
      </c>
      <c r="B64" s="5" t="s">
        <v>232</v>
      </c>
      <c r="C64" s="795">
        <v>13241.53</v>
      </c>
      <c r="D64" s="780">
        <v>13241.53</v>
      </c>
      <c r="E64" s="110">
        <v>12934.99</v>
      </c>
      <c r="F64" s="110">
        <v>12934.99</v>
      </c>
      <c r="G64" s="628">
        <v>9743.14</v>
      </c>
      <c r="H64" s="110">
        <v>5018</v>
      </c>
      <c r="I64" s="270">
        <v>6844.44</v>
      </c>
    </row>
    <row r="65" spans="1:11">
      <c r="A65" s="261" t="s">
        <v>165</v>
      </c>
      <c r="B65" s="42"/>
      <c r="C65" s="99"/>
      <c r="D65" s="99"/>
      <c r="E65" s="99"/>
      <c r="F65" s="99"/>
      <c r="G65" s="627"/>
      <c r="H65" s="99"/>
      <c r="I65" s="274"/>
    </row>
    <row r="66" spans="1:11">
      <c r="A66" s="263" t="s">
        <v>166</v>
      </c>
      <c r="B66" s="5" t="s">
        <v>234</v>
      </c>
      <c r="C66" s="110">
        <f>7*425</f>
        <v>2975</v>
      </c>
      <c r="D66" s="110">
        <f>7*425</f>
        <v>2975</v>
      </c>
      <c r="E66" s="110">
        <v>1869</v>
      </c>
      <c r="F66" s="110">
        <v>3248.5</v>
      </c>
      <c r="G66" s="628">
        <v>1380</v>
      </c>
      <c r="H66" s="110">
        <v>1380</v>
      </c>
      <c r="I66" s="270">
        <v>1840</v>
      </c>
      <c r="K66" s="108"/>
    </row>
    <row r="67" spans="1:11">
      <c r="A67" s="263" t="s">
        <v>235</v>
      </c>
      <c r="B67" s="5" t="s">
        <v>236</v>
      </c>
      <c r="C67" s="110">
        <v>1380</v>
      </c>
      <c r="D67" s="110">
        <v>1380</v>
      </c>
      <c r="E67" s="110">
        <v>1380</v>
      </c>
      <c r="F67" s="110"/>
      <c r="G67" s="626"/>
      <c r="H67" s="110"/>
      <c r="I67" s="270" t="s">
        <v>178</v>
      </c>
    </row>
    <row r="68" spans="1:11">
      <c r="A68" s="261" t="s">
        <v>170</v>
      </c>
      <c r="B68" s="42"/>
      <c r="C68" s="99"/>
      <c r="D68" s="99"/>
      <c r="E68" s="99"/>
      <c r="F68" s="99"/>
      <c r="G68" s="627"/>
      <c r="H68" s="99"/>
      <c r="I68" s="274"/>
    </row>
    <row r="69" spans="1:11">
      <c r="A69" s="263" t="s">
        <v>171</v>
      </c>
      <c r="B69" s="5" t="s">
        <v>237</v>
      </c>
      <c r="C69" s="110">
        <v>1200</v>
      </c>
      <c r="D69" s="110">
        <v>1200</v>
      </c>
      <c r="E69" s="110">
        <v>1200</v>
      </c>
      <c r="F69" s="110">
        <v>1200</v>
      </c>
      <c r="G69" s="628">
        <v>500</v>
      </c>
      <c r="H69" s="110">
        <v>500</v>
      </c>
      <c r="I69" s="270">
        <v>500</v>
      </c>
    </row>
    <row r="70" spans="1:11">
      <c r="A70" s="263" t="s">
        <v>173</v>
      </c>
      <c r="B70" s="5" t="s">
        <v>238</v>
      </c>
      <c r="C70" s="110">
        <v>200</v>
      </c>
      <c r="D70" s="110">
        <v>200</v>
      </c>
      <c r="E70" s="110">
        <v>200</v>
      </c>
      <c r="F70" s="110">
        <v>200</v>
      </c>
      <c r="G70" s="628">
        <v>200</v>
      </c>
      <c r="H70" s="110">
        <v>200</v>
      </c>
      <c r="I70" s="270">
        <v>350</v>
      </c>
    </row>
    <row r="71" spans="1:11">
      <c r="A71" s="263" t="s">
        <v>175</v>
      </c>
      <c r="B71" s="5" t="s">
        <v>239</v>
      </c>
      <c r="C71" s="110"/>
      <c r="D71" s="110"/>
      <c r="E71" s="110"/>
      <c r="F71" s="110"/>
      <c r="G71" s="626"/>
      <c r="H71" s="110"/>
      <c r="I71" s="270" t="s">
        <v>178</v>
      </c>
    </row>
    <row r="72" spans="1:11">
      <c r="A72" s="263" t="s">
        <v>179</v>
      </c>
      <c r="B72" s="5" t="s">
        <v>240</v>
      </c>
      <c r="C72" s="110">
        <v>100</v>
      </c>
      <c r="D72" s="110">
        <v>100</v>
      </c>
      <c r="E72" s="110">
        <v>100</v>
      </c>
      <c r="F72" s="110">
        <v>100</v>
      </c>
      <c r="G72" s="628">
        <v>100</v>
      </c>
      <c r="H72" s="110">
        <v>100</v>
      </c>
      <c r="I72" s="270">
        <v>100</v>
      </c>
    </row>
    <row r="73" spans="1:11">
      <c r="A73" s="261" t="s">
        <v>181</v>
      </c>
      <c r="B73" s="42"/>
      <c r="C73" s="99"/>
      <c r="D73" s="99"/>
      <c r="E73" s="99"/>
      <c r="F73" s="99"/>
      <c r="G73" s="627"/>
      <c r="H73" s="99"/>
      <c r="I73" s="274"/>
    </row>
    <row r="74" spans="1:11">
      <c r="A74" s="263" t="s">
        <v>182</v>
      </c>
      <c r="B74" s="5" t="s">
        <v>241</v>
      </c>
      <c r="C74" s="110"/>
      <c r="D74" s="110"/>
      <c r="E74" s="110"/>
      <c r="F74" s="110"/>
      <c r="G74" s="626"/>
      <c r="H74" s="110"/>
      <c r="I74" s="270" t="s">
        <v>178</v>
      </c>
    </row>
    <row r="75" spans="1:11">
      <c r="A75" s="263" t="s">
        <v>184</v>
      </c>
      <c r="B75" s="5" t="s">
        <v>242</v>
      </c>
      <c r="C75" s="110">
        <v>3640</v>
      </c>
      <c r="D75" s="110">
        <v>3640</v>
      </c>
      <c r="E75" s="110">
        <v>3640</v>
      </c>
      <c r="F75" s="110">
        <v>2800</v>
      </c>
      <c r="G75" s="628">
        <v>2800</v>
      </c>
      <c r="H75" s="110">
        <v>2500</v>
      </c>
      <c r="I75" s="270">
        <v>2800</v>
      </c>
    </row>
    <row r="76" spans="1:11">
      <c r="A76" s="261" t="s">
        <v>186</v>
      </c>
      <c r="B76" s="42"/>
      <c r="C76" s="99"/>
      <c r="D76" s="99"/>
      <c r="E76" s="99"/>
      <c r="F76" s="99"/>
      <c r="G76" s="627"/>
      <c r="H76" s="99"/>
      <c r="I76" s="273"/>
    </row>
    <row r="77" spans="1:11">
      <c r="A77" s="263" t="s">
        <v>243</v>
      </c>
      <c r="B77" s="5" t="s">
        <v>244</v>
      </c>
      <c r="C77" s="110">
        <v>750</v>
      </c>
      <c r="D77" s="110">
        <v>750</v>
      </c>
      <c r="E77" s="110">
        <v>750</v>
      </c>
      <c r="F77" s="110">
        <v>1000</v>
      </c>
      <c r="G77" s="628">
        <v>1000</v>
      </c>
      <c r="H77" s="110">
        <v>1000</v>
      </c>
      <c r="I77" s="270">
        <v>3000</v>
      </c>
    </row>
    <row r="78" spans="1:11">
      <c r="A78" s="263" t="s">
        <v>189</v>
      </c>
      <c r="B78" s="5" t="s">
        <v>245</v>
      </c>
      <c r="C78" s="110"/>
      <c r="D78" s="110"/>
      <c r="E78" s="110"/>
      <c r="F78" s="110"/>
      <c r="G78" s="626"/>
      <c r="H78" s="110"/>
      <c r="I78" s="270"/>
    </row>
    <row r="79" spans="1:11">
      <c r="A79" s="261" t="s">
        <v>246</v>
      </c>
      <c r="B79" s="42"/>
      <c r="C79" s="99"/>
      <c r="D79" s="99"/>
      <c r="E79" s="99"/>
      <c r="F79" s="99"/>
      <c r="G79" s="627"/>
      <c r="H79" s="99"/>
      <c r="I79" s="273"/>
    </row>
    <row r="80" spans="1:11">
      <c r="A80" s="263" t="s">
        <v>247</v>
      </c>
      <c r="B80" s="5" t="s">
        <v>248</v>
      </c>
      <c r="C80" s="795">
        <f>45000-7125</f>
        <v>37875</v>
      </c>
      <c r="D80" s="780">
        <f>15000-7125</f>
        <v>7875</v>
      </c>
      <c r="E80" s="110">
        <v>30000</v>
      </c>
      <c r="F80" s="110">
        <v>30000</v>
      </c>
      <c r="G80" s="628">
        <v>15000</v>
      </c>
      <c r="H80" s="110">
        <v>12000</v>
      </c>
      <c r="I80" s="270">
        <v>15000</v>
      </c>
    </row>
    <row r="81" spans="1:9">
      <c r="A81" s="263" t="s">
        <v>249</v>
      </c>
      <c r="B81" s="5" t="s">
        <v>250</v>
      </c>
      <c r="C81" s="110">
        <v>500</v>
      </c>
      <c r="D81" s="110">
        <v>500</v>
      </c>
      <c r="E81" s="110">
        <v>500</v>
      </c>
      <c r="F81" s="110"/>
      <c r="G81" s="626"/>
      <c r="H81" s="110"/>
      <c r="I81" s="270" t="s">
        <v>178</v>
      </c>
    </row>
    <row r="82" spans="1:9">
      <c r="A82" s="263" t="s">
        <v>251</v>
      </c>
      <c r="B82" s="5" t="s">
        <v>252</v>
      </c>
      <c r="C82" s="108">
        <v>500</v>
      </c>
      <c r="D82" s="108">
        <v>500</v>
      </c>
      <c r="E82" s="108">
        <v>500</v>
      </c>
      <c r="F82" s="110">
        <v>1000</v>
      </c>
      <c r="G82" s="628">
        <v>1000</v>
      </c>
      <c r="H82" s="110">
        <v>1000</v>
      </c>
      <c r="I82" s="270">
        <v>1000</v>
      </c>
    </row>
    <row r="83" spans="1:9">
      <c r="A83" s="263" t="s">
        <v>253</v>
      </c>
      <c r="B83" s="5" t="s">
        <v>254</v>
      </c>
      <c r="C83" s="110">
        <v>1000</v>
      </c>
      <c r="D83" s="110">
        <v>1000</v>
      </c>
      <c r="E83" s="110">
        <v>1000</v>
      </c>
      <c r="F83" s="110">
        <v>1000</v>
      </c>
      <c r="G83" s="628">
        <v>1000</v>
      </c>
      <c r="H83" s="110">
        <v>1000</v>
      </c>
      <c r="I83" s="270">
        <v>1500</v>
      </c>
    </row>
    <row r="84" spans="1:9">
      <c r="A84" s="263" t="s">
        <v>255</v>
      </c>
      <c r="B84" s="5" t="s">
        <v>256</v>
      </c>
      <c r="C84" s="110">
        <v>125</v>
      </c>
      <c r="D84" s="110">
        <v>125</v>
      </c>
      <c r="E84" s="110">
        <v>125</v>
      </c>
      <c r="F84" s="110">
        <v>250</v>
      </c>
      <c r="G84" s="628">
        <v>250</v>
      </c>
      <c r="H84" s="110">
        <v>250</v>
      </c>
      <c r="I84" s="270">
        <v>250</v>
      </c>
    </row>
    <row r="85" spans="1:9">
      <c r="A85" s="253" t="s">
        <v>257</v>
      </c>
      <c r="B85" s="5" t="s">
        <v>258</v>
      </c>
      <c r="C85" s="110"/>
      <c r="D85" s="110"/>
      <c r="E85" s="110"/>
      <c r="F85" s="110"/>
      <c r="G85" s="626"/>
      <c r="H85" s="110"/>
      <c r="I85" s="270"/>
    </row>
    <row r="86" spans="1:9">
      <c r="A86" s="275" t="s">
        <v>259</v>
      </c>
      <c r="B86" s="43"/>
      <c r="C86" s="111"/>
      <c r="D86" s="111"/>
      <c r="E86" s="111"/>
      <c r="F86" s="111"/>
      <c r="G86" s="627"/>
      <c r="H86" s="111"/>
      <c r="I86" s="276"/>
    </row>
    <row r="87" spans="1:9">
      <c r="A87" s="263" t="s">
        <v>260</v>
      </c>
      <c r="B87" s="5" t="s">
        <v>261</v>
      </c>
      <c r="C87" s="110">
        <v>400</v>
      </c>
      <c r="D87" s="110">
        <v>400</v>
      </c>
      <c r="E87" s="110">
        <v>400</v>
      </c>
      <c r="F87" s="110">
        <v>400</v>
      </c>
      <c r="G87" s="628">
        <v>400</v>
      </c>
      <c r="H87" s="110">
        <v>400</v>
      </c>
      <c r="I87" s="270">
        <v>750</v>
      </c>
    </row>
    <row r="88" spans="1:9">
      <c r="A88" s="263" t="s">
        <v>253</v>
      </c>
      <c r="B88" s="5" t="s">
        <v>262</v>
      </c>
      <c r="C88" s="110">
        <v>2500</v>
      </c>
      <c r="D88" s="110">
        <v>2500</v>
      </c>
      <c r="E88" s="110">
        <v>2500</v>
      </c>
      <c r="F88" s="110">
        <v>2500</v>
      </c>
      <c r="G88" s="628">
        <v>2500</v>
      </c>
      <c r="H88" s="110">
        <v>2500</v>
      </c>
      <c r="I88" s="270">
        <v>2500</v>
      </c>
    </row>
    <row r="89" spans="1:9">
      <c r="A89" s="263" t="s">
        <v>263</v>
      </c>
      <c r="B89" s="5" t="s">
        <v>264</v>
      </c>
      <c r="C89" s="110">
        <v>2000</v>
      </c>
      <c r="D89" s="110">
        <v>2000</v>
      </c>
      <c r="E89" s="110">
        <v>2000</v>
      </c>
      <c r="F89" s="110">
        <v>2000</v>
      </c>
      <c r="G89" s="628">
        <v>2000</v>
      </c>
      <c r="H89" s="110">
        <v>2000</v>
      </c>
      <c r="I89" s="270">
        <v>2500</v>
      </c>
    </row>
    <row r="90" spans="1:9">
      <c r="A90" s="263" t="s">
        <v>265</v>
      </c>
      <c r="B90" s="5" t="s">
        <v>266</v>
      </c>
      <c r="C90" s="110">
        <v>1500</v>
      </c>
      <c r="D90" s="110">
        <v>1500</v>
      </c>
      <c r="E90" s="110">
        <v>1500</v>
      </c>
      <c r="F90" s="110">
        <v>1500</v>
      </c>
      <c r="G90" s="628">
        <v>1500</v>
      </c>
      <c r="H90" s="110">
        <v>1500</v>
      </c>
      <c r="I90" s="270">
        <v>3000</v>
      </c>
    </row>
    <row r="91" spans="1:9">
      <c r="A91" s="261" t="s">
        <v>267</v>
      </c>
      <c r="B91" s="43"/>
      <c r="C91" s="111"/>
      <c r="D91" s="111"/>
      <c r="E91" s="111"/>
      <c r="F91" s="111"/>
      <c r="G91" s="627"/>
      <c r="H91" s="111"/>
      <c r="I91" s="276"/>
    </row>
    <row r="92" spans="1:9">
      <c r="A92" s="263" t="s">
        <v>268</v>
      </c>
      <c r="B92" s="5" t="s">
        <v>269</v>
      </c>
      <c r="C92" s="110">
        <v>2750</v>
      </c>
      <c r="D92" s="110">
        <v>2750</v>
      </c>
      <c r="E92" s="110">
        <v>2750</v>
      </c>
      <c r="F92" s="110">
        <v>2500</v>
      </c>
      <c r="G92" s="628">
        <v>2500</v>
      </c>
      <c r="H92" s="110">
        <v>2500</v>
      </c>
      <c r="I92" s="270">
        <v>2500</v>
      </c>
    </row>
    <row r="93" spans="1:9">
      <c r="A93" s="263" t="s">
        <v>270</v>
      </c>
      <c r="B93" s="5" t="s">
        <v>271</v>
      </c>
      <c r="C93" s="110"/>
      <c r="D93" s="110"/>
      <c r="E93" s="110"/>
      <c r="F93" s="110"/>
      <c r="G93" s="626"/>
      <c r="H93" s="110"/>
      <c r="I93" s="270" t="s">
        <v>178</v>
      </c>
    </row>
    <row r="94" spans="1:9">
      <c r="A94" s="661" t="s">
        <v>272</v>
      </c>
      <c r="B94" s="665" t="s">
        <v>273</v>
      </c>
      <c r="C94" s="795">
        <v>-30000</v>
      </c>
      <c r="D94" s="780">
        <v>0</v>
      </c>
      <c r="E94" s="666">
        <v>-30000</v>
      </c>
      <c r="F94" s="666">
        <v>-30000</v>
      </c>
      <c r="G94" s="626"/>
      <c r="H94" s="110"/>
      <c r="I94" s="270" t="s">
        <v>178</v>
      </c>
    </row>
    <row r="95" spans="1:9" ht="15.95" thickBot="1">
      <c r="A95" s="265" t="s">
        <v>196</v>
      </c>
      <c r="B95" s="44"/>
      <c r="C95" s="97">
        <f t="shared" ref="C95" si="3">SUM(C60:C94)</f>
        <v>200235.41</v>
      </c>
      <c r="D95" s="97">
        <f t="shared" ref="D95" si="4">SUM(D60:D94)</f>
        <v>200235.41</v>
      </c>
      <c r="E95" s="97">
        <f t="shared" ref="E95:F95" si="5">SUM(E60:E94)</f>
        <v>184151.81</v>
      </c>
      <c r="F95" s="97">
        <f t="shared" si="5"/>
        <v>183270.06199999998</v>
      </c>
      <c r="G95" s="638">
        <v>207121.14</v>
      </c>
      <c r="H95" s="97">
        <f t="shared" ref="H95" si="6">SUM(H60:H94)</f>
        <v>184016</v>
      </c>
      <c r="I95" s="266">
        <v>228334.06399999998</v>
      </c>
    </row>
    <row r="96" spans="1:9">
      <c r="A96" s="267" t="s">
        <v>274</v>
      </c>
      <c r="B96" s="45" t="s">
        <v>275</v>
      </c>
      <c r="C96" s="100"/>
      <c r="D96" s="100"/>
      <c r="E96" s="100"/>
      <c r="F96" s="100"/>
      <c r="G96" s="634"/>
      <c r="H96" s="100"/>
      <c r="I96" s="277"/>
    </row>
    <row r="97" spans="1:10">
      <c r="A97" s="261" t="s">
        <v>157</v>
      </c>
      <c r="B97" s="33"/>
      <c r="C97" s="95"/>
      <c r="D97" s="95"/>
      <c r="E97" s="95"/>
      <c r="F97" s="95"/>
      <c r="G97" s="627"/>
      <c r="H97" s="95"/>
      <c r="I97" s="262"/>
    </row>
    <row r="98" spans="1:10">
      <c r="A98" s="263" t="s">
        <v>276</v>
      </c>
      <c r="B98" s="4" t="s">
        <v>277</v>
      </c>
      <c r="C98" s="793">
        <v>45729</v>
      </c>
      <c r="D98" s="96"/>
      <c r="E98" s="96">
        <v>44547.6</v>
      </c>
      <c r="F98" s="96">
        <f>42958.15*(1+0.037)</f>
        <v>44547.601549999999</v>
      </c>
      <c r="G98" s="628">
        <v>42958.15</v>
      </c>
      <c r="H98" s="96">
        <v>42958.15</v>
      </c>
      <c r="I98" s="264">
        <v>40185.82</v>
      </c>
      <c r="J98" s="594"/>
    </row>
    <row r="99" spans="1:10">
      <c r="A99" s="263" t="s">
        <v>278</v>
      </c>
      <c r="B99" s="4" t="s">
        <v>279</v>
      </c>
      <c r="C99" s="793">
        <v>7919.88</v>
      </c>
      <c r="D99" s="96"/>
      <c r="E99" s="96">
        <v>10035.219999999999</v>
      </c>
      <c r="F99" s="96">
        <f>7369.126+2500</f>
        <v>9869.1260000000002</v>
      </c>
      <c r="G99" s="628">
        <v>6850</v>
      </c>
      <c r="H99" s="96">
        <v>6850</v>
      </c>
      <c r="I99" s="264">
        <v>8015.33</v>
      </c>
    </row>
    <row r="100" spans="1:10">
      <c r="A100" s="263" t="s">
        <v>162</v>
      </c>
      <c r="B100" s="4"/>
      <c r="C100" s="793">
        <v>2500</v>
      </c>
      <c r="D100" s="96"/>
      <c r="E100" s="96"/>
      <c r="F100" s="96"/>
      <c r="G100" s="628"/>
      <c r="H100" s="96"/>
      <c r="I100" s="264"/>
    </row>
    <row r="101" spans="1:10">
      <c r="A101" s="263" t="s">
        <v>203</v>
      </c>
      <c r="B101" s="4" t="s">
        <v>277</v>
      </c>
      <c r="C101" s="793">
        <v>34250</v>
      </c>
      <c r="D101" s="96"/>
      <c r="E101" s="96">
        <v>36150</v>
      </c>
      <c r="F101" s="96">
        <v>35040</v>
      </c>
      <c r="G101" s="628">
        <v>45460</v>
      </c>
      <c r="H101" s="96">
        <v>43380</v>
      </c>
      <c r="I101" s="264">
        <v>47492.5</v>
      </c>
    </row>
    <row r="102" spans="1:10">
      <c r="A102" s="263" t="s">
        <v>164</v>
      </c>
      <c r="B102" s="4" t="s">
        <v>279</v>
      </c>
      <c r="C102" s="793">
        <v>4699.13</v>
      </c>
      <c r="D102" s="96"/>
      <c r="E102" s="96">
        <v>5217.68</v>
      </c>
      <c r="F102" s="96">
        <v>7976.48</v>
      </c>
      <c r="G102" s="628">
        <v>3826.82</v>
      </c>
      <c r="H102" s="96">
        <v>2169</v>
      </c>
      <c r="I102" s="264">
        <v>2374.625</v>
      </c>
      <c r="J102" s="594"/>
    </row>
    <row r="103" spans="1:10">
      <c r="A103" s="261" t="s">
        <v>165</v>
      </c>
      <c r="B103" s="33"/>
      <c r="C103" s="95"/>
      <c r="D103" s="95"/>
      <c r="E103" s="95"/>
      <c r="F103" s="95"/>
      <c r="G103" s="627"/>
      <c r="H103" s="95"/>
      <c r="I103" s="262"/>
    </row>
    <row r="104" spans="1:10">
      <c r="A104" s="263" t="s">
        <v>166</v>
      </c>
      <c r="B104" s="4" t="s">
        <v>280</v>
      </c>
      <c r="C104" s="96">
        <f>425*3</f>
        <v>1275</v>
      </c>
      <c r="D104" s="96"/>
      <c r="E104" s="96">
        <v>1245.05</v>
      </c>
      <c r="F104" s="96">
        <v>1245.05</v>
      </c>
      <c r="G104" s="628">
        <v>460</v>
      </c>
      <c r="H104" s="96">
        <v>460</v>
      </c>
      <c r="I104" s="264">
        <v>920</v>
      </c>
    </row>
    <row r="105" spans="1:10">
      <c r="A105" s="263" t="s">
        <v>235</v>
      </c>
      <c r="B105" s="4"/>
      <c r="C105" s="96"/>
      <c r="D105" s="96"/>
      <c r="E105" s="96"/>
      <c r="F105" s="96"/>
      <c r="G105" s="626"/>
      <c r="H105" s="96"/>
      <c r="I105" s="264"/>
    </row>
    <row r="106" spans="1:10">
      <c r="A106" s="261" t="s">
        <v>170</v>
      </c>
      <c r="B106" s="33"/>
      <c r="C106" s="95"/>
      <c r="D106" s="95"/>
      <c r="E106" s="95"/>
      <c r="F106" s="95"/>
      <c r="G106" s="627"/>
      <c r="H106" s="95"/>
      <c r="I106" s="262"/>
    </row>
    <row r="107" spans="1:10">
      <c r="A107" s="263" t="s">
        <v>171</v>
      </c>
      <c r="B107" s="4" t="s">
        <v>281</v>
      </c>
      <c r="C107" s="96">
        <v>1200</v>
      </c>
      <c r="D107" s="96"/>
      <c r="E107" s="96">
        <v>1200</v>
      </c>
      <c r="F107" s="96">
        <v>1200</v>
      </c>
      <c r="G107" s="628">
        <v>500</v>
      </c>
      <c r="H107" s="96">
        <v>500</v>
      </c>
      <c r="I107" s="271">
        <v>1000</v>
      </c>
    </row>
    <row r="108" spans="1:10">
      <c r="A108" s="263" t="s">
        <v>173</v>
      </c>
      <c r="B108" s="4" t="s">
        <v>282</v>
      </c>
      <c r="C108" s="96">
        <v>200</v>
      </c>
      <c r="D108" s="96"/>
      <c r="E108" s="96">
        <v>200</v>
      </c>
      <c r="F108" s="96">
        <v>200</v>
      </c>
      <c r="G108" s="628">
        <v>200</v>
      </c>
      <c r="H108" s="96">
        <v>200</v>
      </c>
      <c r="I108" s="264">
        <v>300</v>
      </c>
    </row>
    <row r="109" spans="1:10">
      <c r="A109" s="263" t="s">
        <v>175</v>
      </c>
      <c r="B109" s="4" t="s">
        <v>283</v>
      </c>
      <c r="C109" s="96">
        <v>150</v>
      </c>
      <c r="D109" s="96"/>
      <c r="E109" s="96">
        <v>150</v>
      </c>
      <c r="F109" s="96">
        <v>15</v>
      </c>
      <c r="G109" s="628">
        <v>15</v>
      </c>
      <c r="H109" s="96">
        <v>15</v>
      </c>
      <c r="I109" s="264">
        <v>50</v>
      </c>
    </row>
    <row r="110" spans="1:10">
      <c r="A110" s="263" t="s">
        <v>179</v>
      </c>
      <c r="B110" s="4" t="s">
        <v>284</v>
      </c>
      <c r="C110" s="96">
        <v>100</v>
      </c>
      <c r="D110" s="96"/>
      <c r="E110" s="96">
        <v>100</v>
      </c>
      <c r="F110" s="96">
        <v>100</v>
      </c>
      <c r="G110" s="628">
        <v>100</v>
      </c>
      <c r="H110" s="96">
        <v>100</v>
      </c>
      <c r="I110" s="264">
        <v>100</v>
      </c>
    </row>
    <row r="111" spans="1:10">
      <c r="A111" s="261" t="s">
        <v>181</v>
      </c>
      <c r="B111" s="33"/>
      <c r="C111" s="95"/>
      <c r="D111" s="95"/>
      <c r="E111" s="95"/>
      <c r="F111" s="95"/>
      <c r="G111" s="627"/>
      <c r="H111" s="95"/>
      <c r="I111" s="269"/>
    </row>
    <row r="112" spans="1:10">
      <c r="A112" s="263" t="s">
        <v>182</v>
      </c>
      <c r="B112" s="4" t="s">
        <v>285</v>
      </c>
      <c r="C112" s="96">
        <v>100</v>
      </c>
      <c r="D112" s="96"/>
      <c r="E112" s="96">
        <v>100</v>
      </c>
      <c r="F112" s="96">
        <v>100</v>
      </c>
      <c r="G112" s="628">
        <v>100</v>
      </c>
      <c r="H112" s="96">
        <v>100</v>
      </c>
      <c r="I112" s="264">
        <v>350</v>
      </c>
    </row>
    <row r="113" spans="1:9">
      <c r="A113" s="263" t="s">
        <v>184</v>
      </c>
      <c r="B113" s="4" t="s">
        <v>286</v>
      </c>
      <c r="C113" s="96">
        <v>872</v>
      </c>
      <c r="D113" s="96"/>
      <c r="E113" s="96">
        <v>872</v>
      </c>
      <c r="F113" s="96">
        <v>200</v>
      </c>
      <c r="G113" s="628">
        <v>200</v>
      </c>
      <c r="H113" s="96">
        <v>200</v>
      </c>
      <c r="I113" s="264">
        <v>300</v>
      </c>
    </row>
    <row r="114" spans="1:9">
      <c r="A114" s="261" t="s">
        <v>186</v>
      </c>
      <c r="B114" s="3"/>
      <c r="C114" s="105"/>
      <c r="D114" s="105"/>
      <c r="E114" s="105"/>
      <c r="F114" s="105"/>
      <c r="G114" s="626"/>
      <c r="H114" s="105"/>
      <c r="I114" s="278"/>
    </row>
    <row r="115" spans="1:9">
      <c r="A115" s="263" t="s">
        <v>187</v>
      </c>
      <c r="B115" s="4" t="s">
        <v>287</v>
      </c>
      <c r="C115" s="96">
        <v>1000</v>
      </c>
      <c r="D115" s="96"/>
      <c r="E115" s="96">
        <v>1000</v>
      </c>
      <c r="F115" s="96">
        <v>1000</v>
      </c>
      <c r="G115" s="628">
        <v>1000</v>
      </c>
      <c r="H115" s="96">
        <v>1000</v>
      </c>
      <c r="I115" s="264">
        <v>3000</v>
      </c>
    </row>
    <row r="116" spans="1:9">
      <c r="A116" s="263" t="s">
        <v>288</v>
      </c>
      <c r="B116" s="5" t="s">
        <v>289</v>
      </c>
      <c r="C116" s="96">
        <v>500</v>
      </c>
      <c r="D116" s="96"/>
      <c r="E116" s="96">
        <v>500</v>
      </c>
      <c r="F116" s="96">
        <v>500</v>
      </c>
      <c r="G116" s="628">
        <v>500</v>
      </c>
      <c r="H116" s="96">
        <v>500</v>
      </c>
      <c r="I116" s="264">
        <v>750</v>
      </c>
    </row>
    <row r="117" spans="1:9">
      <c r="A117" s="261" t="s">
        <v>191</v>
      </c>
      <c r="B117" s="33"/>
      <c r="C117" s="95"/>
      <c r="D117" s="95"/>
      <c r="E117" s="95"/>
      <c r="F117" s="95"/>
      <c r="G117" s="627"/>
      <c r="H117" s="95"/>
      <c r="I117" s="262"/>
    </row>
    <row r="118" spans="1:9">
      <c r="A118" s="661" t="s">
        <v>290</v>
      </c>
      <c r="B118" s="665" t="s">
        <v>291</v>
      </c>
      <c r="C118" s="663">
        <v>4500</v>
      </c>
      <c r="D118" s="663"/>
      <c r="E118" s="663">
        <v>4500</v>
      </c>
      <c r="F118" s="663">
        <v>4000</v>
      </c>
      <c r="G118" s="628">
        <v>4000</v>
      </c>
      <c r="H118" s="96">
        <v>4000</v>
      </c>
      <c r="I118" s="264">
        <v>8000</v>
      </c>
    </row>
    <row r="119" spans="1:9">
      <c r="A119" s="664" t="s">
        <v>292</v>
      </c>
      <c r="B119" s="665" t="s">
        <v>293</v>
      </c>
      <c r="C119" s="663">
        <v>5500</v>
      </c>
      <c r="D119" s="663"/>
      <c r="E119" s="663">
        <v>5500</v>
      </c>
      <c r="F119" s="663">
        <v>4000</v>
      </c>
      <c r="G119" s="628">
        <v>4000</v>
      </c>
      <c r="H119" s="96">
        <v>4000</v>
      </c>
      <c r="I119" s="271">
        <v>6000</v>
      </c>
    </row>
    <row r="120" spans="1:9">
      <c r="A120" s="661" t="s">
        <v>294</v>
      </c>
      <c r="B120" s="662" t="s">
        <v>295</v>
      </c>
      <c r="C120" s="663">
        <v>-8000</v>
      </c>
      <c r="D120" s="663"/>
      <c r="E120" s="663">
        <v>-8000</v>
      </c>
      <c r="F120" s="663">
        <v>-8000</v>
      </c>
      <c r="G120" s="628"/>
      <c r="H120" s="96"/>
      <c r="I120" s="271"/>
    </row>
    <row r="121" spans="1:9">
      <c r="A121" s="261" t="s">
        <v>296</v>
      </c>
      <c r="B121" s="34"/>
      <c r="C121" s="101"/>
      <c r="D121" s="101"/>
      <c r="E121" s="101"/>
      <c r="F121" s="101"/>
      <c r="G121" s="627"/>
      <c r="H121" s="101"/>
      <c r="I121" s="279"/>
    </row>
    <row r="122" spans="1:9">
      <c r="A122" s="263" t="s">
        <v>297</v>
      </c>
      <c r="B122" s="4" t="s">
        <v>298</v>
      </c>
      <c r="C122" s="84">
        <v>-85200</v>
      </c>
      <c r="D122" s="84"/>
      <c r="E122" s="84">
        <v>-82000</v>
      </c>
      <c r="F122" s="84">
        <v>-79000</v>
      </c>
      <c r="G122" s="688">
        <v>-72000</v>
      </c>
      <c r="H122" s="669">
        <v>-72000</v>
      </c>
      <c r="I122" s="270">
        <v>-72000</v>
      </c>
    </row>
    <row r="123" spans="1:9">
      <c r="A123" s="263" t="s">
        <v>299</v>
      </c>
      <c r="B123" s="4" t="s">
        <v>300</v>
      </c>
      <c r="C123" s="84">
        <v>-20000</v>
      </c>
      <c r="D123" s="84"/>
      <c r="E123" s="84">
        <v>-20000</v>
      </c>
      <c r="F123" s="84">
        <v>-25000</v>
      </c>
      <c r="G123" s="688">
        <v>-15000</v>
      </c>
      <c r="H123" s="669">
        <v>-15000</v>
      </c>
      <c r="I123" s="270">
        <v>-15000</v>
      </c>
    </row>
    <row r="124" spans="1:9">
      <c r="A124" s="664" t="s">
        <v>301</v>
      </c>
      <c r="B124" s="662" t="s">
        <v>302</v>
      </c>
      <c r="C124" s="667">
        <v>0</v>
      </c>
      <c r="D124" s="667"/>
      <c r="E124" s="667">
        <v>0</v>
      </c>
      <c r="F124" s="667">
        <v>0</v>
      </c>
      <c r="G124" s="670">
        <v>30000</v>
      </c>
      <c r="H124" s="671">
        <v>25000</v>
      </c>
      <c r="I124" s="672">
        <v>25000</v>
      </c>
    </row>
    <row r="125" spans="1:9">
      <c r="A125" s="664" t="s">
        <v>303</v>
      </c>
      <c r="B125" s="662" t="s">
        <v>304</v>
      </c>
      <c r="C125" s="667">
        <v>750</v>
      </c>
      <c r="D125" s="667"/>
      <c r="E125" s="667">
        <v>750</v>
      </c>
      <c r="F125" s="667">
        <v>750</v>
      </c>
      <c r="G125" s="670">
        <v>500</v>
      </c>
      <c r="H125" s="671">
        <v>500</v>
      </c>
      <c r="I125" s="672">
        <v>500</v>
      </c>
    </row>
    <row r="126" spans="1:9">
      <c r="A126" s="664" t="s">
        <v>305</v>
      </c>
      <c r="B126" s="662" t="s">
        <v>306</v>
      </c>
      <c r="C126" s="667">
        <v>13000</v>
      </c>
      <c r="D126" s="667"/>
      <c r="E126" s="667">
        <v>13000</v>
      </c>
      <c r="F126" s="667">
        <v>13000</v>
      </c>
      <c r="G126" s="656">
        <v>18000</v>
      </c>
      <c r="H126" s="667">
        <v>15000</v>
      </c>
      <c r="I126" s="668">
        <v>15000</v>
      </c>
    </row>
    <row r="127" spans="1:9">
      <c r="A127" s="263" t="s">
        <v>307</v>
      </c>
      <c r="B127" s="4" t="s">
        <v>308</v>
      </c>
      <c r="C127" s="84">
        <v>0</v>
      </c>
      <c r="D127" s="84"/>
      <c r="E127" s="84">
        <v>0</v>
      </c>
      <c r="F127" s="84">
        <v>0</v>
      </c>
      <c r="G127" s="626"/>
      <c r="H127" s="84"/>
      <c r="I127" s="264"/>
    </row>
    <row r="128" spans="1:9">
      <c r="A128" s="263" t="s">
        <v>179</v>
      </c>
      <c r="B128" s="4" t="s">
        <v>309</v>
      </c>
      <c r="C128" s="84">
        <v>50</v>
      </c>
      <c r="D128" s="84"/>
      <c r="E128" s="84">
        <v>50</v>
      </c>
      <c r="F128" s="84">
        <v>100</v>
      </c>
      <c r="G128" s="628">
        <v>100</v>
      </c>
      <c r="H128" s="84">
        <v>100</v>
      </c>
      <c r="I128" s="264">
        <v>100</v>
      </c>
    </row>
    <row r="129" spans="1:9">
      <c r="A129" s="263" t="s">
        <v>310</v>
      </c>
      <c r="B129" s="4" t="s">
        <v>311</v>
      </c>
      <c r="C129" s="84">
        <v>5000</v>
      </c>
      <c r="D129" s="84"/>
      <c r="E129" s="84">
        <v>5000</v>
      </c>
      <c r="F129" s="84">
        <v>5500</v>
      </c>
      <c r="G129" s="628">
        <v>5000</v>
      </c>
      <c r="H129" s="84">
        <v>10000</v>
      </c>
      <c r="I129" s="264">
        <v>10000</v>
      </c>
    </row>
    <row r="130" spans="1:9">
      <c r="A130" s="263" t="s">
        <v>312</v>
      </c>
      <c r="B130" s="4" t="s">
        <v>313</v>
      </c>
      <c r="C130" s="84">
        <v>1000</v>
      </c>
      <c r="D130" s="84"/>
      <c r="E130" s="84">
        <v>1000</v>
      </c>
      <c r="F130" s="84">
        <v>1000</v>
      </c>
      <c r="G130" s="628">
        <v>300</v>
      </c>
      <c r="H130" s="84">
        <v>300</v>
      </c>
      <c r="I130" s="264">
        <v>300</v>
      </c>
    </row>
    <row r="131" spans="1:9">
      <c r="A131" s="263" t="s">
        <v>182</v>
      </c>
      <c r="B131" s="4" t="s">
        <v>314</v>
      </c>
      <c r="C131" s="84">
        <v>700</v>
      </c>
      <c r="D131" s="84"/>
      <c r="E131" s="84">
        <v>700</v>
      </c>
      <c r="F131" s="84">
        <v>700</v>
      </c>
      <c r="G131" s="628">
        <v>600</v>
      </c>
      <c r="H131" s="84">
        <v>600</v>
      </c>
      <c r="I131" s="264">
        <v>600</v>
      </c>
    </row>
    <row r="132" spans="1:9">
      <c r="A132" s="263" t="s">
        <v>315</v>
      </c>
      <c r="B132" s="4" t="s">
        <v>316</v>
      </c>
      <c r="C132" s="84">
        <v>5000</v>
      </c>
      <c r="D132" s="84"/>
      <c r="E132" s="84">
        <v>5000</v>
      </c>
      <c r="F132" s="84">
        <v>2500</v>
      </c>
      <c r="G132" s="628">
        <v>1500</v>
      </c>
      <c r="H132" s="84">
        <v>1500</v>
      </c>
      <c r="I132" s="264">
        <v>1500</v>
      </c>
    </row>
    <row r="133" spans="1:9">
      <c r="A133" s="263" t="s">
        <v>317</v>
      </c>
      <c r="B133" s="4" t="s">
        <v>318</v>
      </c>
      <c r="C133" s="84">
        <v>3000</v>
      </c>
      <c r="D133" s="84"/>
      <c r="E133" s="84">
        <v>3000</v>
      </c>
      <c r="F133" s="84">
        <v>3000</v>
      </c>
      <c r="G133" s="628">
        <v>2000</v>
      </c>
      <c r="H133" s="84">
        <v>1500</v>
      </c>
      <c r="I133" s="264">
        <v>1500</v>
      </c>
    </row>
    <row r="134" spans="1:9">
      <c r="A134" s="263" t="s">
        <v>319</v>
      </c>
      <c r="B134" s="4" t="s">
        <v>320</v>
      </c>
      <c r="C134" s="84">
        <v>35000</v>
      </c>
      <c r="D134" s="84"/>
      <c r="E134" s="84">
        <v>35000</v>
      </c>
      <c r="F134" s="84">
        <v>35000</v>
      </c>
      <c r="G134" s="628">
        <v>35000</v>
      </c>
      <c r="H134" s="84">
        <v>20000</v>
      </c>
      <c r="I134" s="264">
        <v>20000</v>
      </c>
    </row>
    <row r="135" spans="1:9">
      <c r="A135" s="263" t="s">
        <v>321</v>
      </c>
      <c r="B135" s="4" t="s">
        <v>318</v>
      </c>
      <c r="C135" s="84">
        <v>35000</v>
      </c>
      <c r="D135" s="84"/>
      <c r="E135" s="84">
        <v>35000</v>
      </c>
      <c r="F135" s="84">
        <v>35000</v>
      </c>
      <c r="G135" s="645" t="s">
        <v>178</v>
      </c>
      <c r="H135" s="84" t="s">
        <v>178</v>
      </c>
      <c r="I135" s="264" t="s">
        <v>178</v>
      </c>
    </row>
    <row r="136" spans="1:9">
      <c r="A136" s="263" t="s">
        <v>235</v>
      </c>
      <c r="B136" s="4" t="s">
        <v>322</v>
      </c>
      <c r="C136" s="84">
        <v>200</v>
      </c>
      <c r="D136" s="84"/>
      <c r="E136" s="84">
        <v>200</v>
      </c>
      <c r="F136" s="84">
        <v>200</v>
      </c>
      <c r="G136" s="628">
        <v>100</v>
      </c>
      <c r="H136" s="84">
        <v>100</v>
      </c>
      <c r="I136" s="264">
        <v>250</v>
      </c>
    </row>
    <row r="137" spans="1:9">
      <c r="A137" s="263" t="s">
        <v>323</v>
      </c>
      <c r="B137" s="5" t="s">
        <v>324</v>
      </c>
      <c r="C137" s="108">
        <v>6500</v>
      </c>
      <c r="D137" s="108"/>
      <c r="E137" s="108">
        <v>6500</v>
      </c>
      <c r="F137" s="108">
        <v>7500</v>
      </c>
      <c r="G137" s="646">
        <v>5000</v>
      </c>
      <c r="H137" s="108">
        <v>5000</v>
      </c>
      <c r="I137" s="264">
        <v>5000</v>
      </c>
    </row>
    <row r="138" spans="1:9" ht="15.95" thickBot="1">
      <c r="A138" s="280" t="s">
        <v>196</v>
      </c>
      <c r="B138" s="90"/>
      <c r="C138" s="102">
        <f>SUM(C98:C137)</f>
        <v>102495.01000000001</v>
      </c>
      <c r="D138" s="102">
        <f>SUM(D98:D137)</f>
        <v>0</v>
      </c>
      <c r="E138" s="102">
        <f>SUM(E98:E137)</f>
        <v>106517.55</v>
      </c>
      <c r="F138" s="102">
        <f>SUM(F98:F137)</f>
        <v>102243.25754999999</v>
      </c>
      <c r="G138" s="647">
        <v>121269.97</v>
      </c>
      <c r="H138" s="102">
        <f>SUM(H98:H137)</f>
        <v>99032.15</v>
      </c>
      <c r="I138" s="281">
        <v>111588.27499999999</v>
      </c>
    </row>
    <row r="139" spans="1:9">
      <c r="A139" s="282" t="s">
        <v>325</v>
      </c>
      <c r="B139" s="47" t="s">
        <v>326</v>
      </c>
      <c r="C139" s="103"/>
      <c r="D139" s="103"/>
      <c r="E139" s="103"/>
      <c r="F139" s="103"/>
      <c r="G139" s="644"/>
      <c r="H139" s="103"/>
      <c r="I139" s="283"/>
    </row>
    <row r="140" spans="1:9">
      <c r="A140" s="261" t="s">
        <v>157</v>
      </c>
      <c r="B140" s="33"/>
      <c r="C140" s="95"/>
      <c r="D140" s="95"/>
      <c r="E140" s="95"/>
      <c r="F140" s="95"/>
      <c r="G140" s="627"/>
      <c r="H140" s="95"/>
      <c r="I140" s="262"/>
    </row>
    <row r="141" spans="1:9">
      <c r="A141" s="263" t="s">
        <v>327</v>
      </c>
      <c r="B141" s="4" t="s">
        <v>328</v>
      </c>
      <c r="C141" s="793">
        <v>45729</v>
      </c>
      <c r="D141" s="96"/>
      <c r="E141" s="96">
        <v>44547.6</v>
      </c>
      <c r="F141" s="96">
        <f>42958.15*(1+0.037)</f>
        <v>44547.601549999999</v>
      </c>
      <c r="G141" s="628">
        <v>42958.15</v>
      </c>
      <c r="H141" s="96">
        <v>42958.15</v>
      </c>
      <c r="I141" s="264">
        <v>40185.824000000001</v>
      </c>
    </row>
    <row r="142" spans="1:9">
      <c r="A142" s="263" t="s">
        <v>329</v>
      </c>
      <c r="B142" s="4" t="s">
        <v>330</v>
      </c>
      <c r="C142" s="793">
        <v>7919.88</v>
      </c>
      <c r="D142" s="96"/>
      <c r="E142" s="96">
        <v>10035.219999999999</v>
      </c>
      <c r="F142" s="96">
        <f>7369.126+2500</f>
        <v>9869.1260000000002</v>
      </c>
      <c r="G142" s="628">
        <v>6850</v>
      </c>
      <c r="H142" s="96">
        <v>6850</v>
      </c>
      <c r="I142" s="264">
        <v>6825</v>
      </c>
    </row>
    <row r="143" spans="1:9">
      <c r="A143" s="263" t="s">
        <v>331</v>
      </c>
      <c r="B143" s="4"/>
      <c r="C143" s="793">
        <v>2500</v>
      </c>
      <c r="D143" s="96"/>
      <c r="E143" s="96"/>
      <c r="F143" s="96"/>
      <c r="G143" s="628"/>
      <c r="H143" s="96"/>
      <c r="I143" s="264"/>
    </row>
    <row r="144" spans="1:9">
      <c r="A144" s="263" t="s">
        <v>203</v>
      </c>
      <c r="B144" s="4" t="s">
        <v>332</v>
      </c>
      <c r="C144" s="793">
        <v>66110</v>
      </c>
      <c r="D144" s="96"/>
      <c r="E144" s="96">
        <v>61880</v>
      </c>
      <c r="F144" s="96">
        <v>61880</v>
      </c>
      <c r="G144" s="628">
        <v>72280</v>
      </c>
      <c r="H144" s="96">
        <v>68380</v>
      </c>
      <c r="I144" s="264">
        <v>63960</v>
      </c>
    </row>
    <row r="145" spans="1:9">
      <c r="A145" s="263" t="s">
        <v>164</v>
      </c>
      <c r="B145" s="4" t="s">
        <v>330</v>
      </c>
      <c r="C145" s="793">
        <v>8861.5499999999993</v>
      </c>
      <c r="D145" s="96"/>
      <c r="E145" s="96">
        <v>8417.4</v>
      </c>
      <c r="F145" s="96">
        <v>8386.4599999999991</v>
      </c>
      <c r="G145" s="628">
        <v>6100.43</v>
      </c>
      <c r="H145" s="96">
        <v>3419</v>
      </c>
      <c r="I145" s="264">
        <v>3198</v>
      </c>
    </row>
    <row r="146" spans="1:9">
      <c r="A146" s="261" t="s">
        <v>165</v>
      </c>
      <c r="B146" s="33"/>
      <c r="C146" s="95"/>
      <c r="D146" s="95"/>
      <c r="E146" s="95"/>
      <c r="F146" s="95"/>
      <c r="G146" s="627"/>
      <c r="H146" s="95"/>
      <c r="I146" s="262"/>
    </row>
    <row r="147" spans="1:9">
      <c r="A147" s="263" t="s">
        <v>166</v>
      </c>
      <c r="B147" s="4" t="s">
        <v>333</v>
      </c>
      <c r="C147" s="96">
        <f>5*425</f>
        <v>2125</v>
      </c>
      <c r="D147" s="96"/>
      <c r="E147" s="96">
        <v>2125</v>
      </c>
      <c r="F147" s="96">
        <v>2300.12</v>
      </c>
      <c r="G147" s="628">
        <v>920</v>
      </c>
      <c r="H147" s="96">
        <v>920</v>
      </c>
      <c r="I147" s="264">
        <v>1150</v>
      </c>
    </row>
    <row r="148" spans="1:9">
      <c r="A148" s="263" t="s">
        <v>334</v>
      </c>
      <c r="B148" s="4" t="s">
        <v>335</v>
      </c>
      <c r="C148" s="96"/>
      <c r="D148" s="96"/>
      <c r="E148" s="96"/>
      <c r="F148" s="96"/>
      <c r="G148" s="626"/>
      <c r="H148" s="96"/>
      <c r="I148" s="264" t="s">
        <v>178</v>
      </c>
    </row>
    <row r="149" spans="1:9">
      <c r="A149" s="261" t="s">
        <v>170</v>
      </c>
      <c r="B149" s="33"/>
      <c r="C149" s="95"/>
      <c r="D149" s="95"/>
      <c r="E149" s="95"/>
      <c r="F149" s="95"/>
      <c r="G149" s="627"/>
      <c r="H149" s="95"/>
      <c r="I149" s="262"/>
    </row>
    <row r="150" spans="1:9">
      <c r="A150" s="263" t="s">
        <v>171</v>
      </c>
      <c r="B150" s="4" t="s">
        <v>336</v>
      </c>
      <c r="C150" s="96">
        <v>1200</v>
      </c>
      <c r="D150" s="96"/>
      <c r="E150" s="96">
        <v>1200</v>
      </c>
      <c r="F150" s="96">
        <v>1200</v>
      </c>
      <c r="G150" s="628">
        <v>500</v>
      </c>
      <c r="H150" s="96">
        <v>500</v>
      </c>
      <c r="I150" s="264">
        <v>1000</v>
      </c>
    </row>
    <row r="151" spans="1:9">
      <c r="A151" s="263" t="s">
        <v>173</v>
      </c>
      <c r="B151" s="4" t="s">
        <v>337</v>
      </c>
      <c r="C151" s="96">
        <v>200</v>
      </c>
      <c r="D151" s="96"/>
      <c r="E151" s="96">
        <v>200</v>
      </c>
      <c r="F151" s="96">
        <v>200</v>
      </c>
      <c r="G151" s="628">
        <v>200</v>
      </c>
      <c r="H151" s="96">
        <v>200</v>
      </c>
      <c r="I151" s="264">
        <v>300</v>
      </c>
    </row>
    <row r="152" spans="1:9">
      <c r="A152" s="263" t="s">
        <v>175</v>
      </c>
      <c r="B152" s="4" t="s">
        <v>338</v>
      </c>
      <c r="C152" s="96">
        <v>0</v>
      </c>
      <c r="D152" s="96"/>
      <c r="E152" s="96">
        <v>0</v>
      </c>
      <c r="F152" s="96">
        <v>0</v>
      </c>
      <c r="G152" s="626" t="s">
        <v>177</v>
      </c>
      <c r="H152" s="96">
        <v>0</v>
      </c>
      <c r="I152" s="264"/>
    </row>
    <row r="153" spans="1:9">
      <c r="A153" s="263" t="s">
        <v>179</v>
      </c>
      <c r="B153" s="4" t="s">
        <v>339</v>
      </c>
      <c r="C153" s="96">
        <v>100</v>
      </c>
      <c r="D153" s="96"/>
      <c r="E153" s="96">
        <v>100</v>
      </c>
      <c r="F153" s="96">
        <v>100</v>
      </c>
      <c r="G153" s="628">
        <v>100</v>
      </c>
      <c r="H153" s="96">
        <v>100</v>
      </c>
      <c r="I153" s="264">
        <v>100</v>
      </c>
    </row>
    <row r="154" spans="1:9">
      <c r="A154" s="261" t="s">
        <v>181</v>
      </c>
      <c r="B154" s="33"/>
      <c r="C154" s="95"/>
      <c r="D154" s="95"/>
      <c r="E154" s="95"/>
      <c r="F154" s="95"/>
      <c r="G154" s="627"/>
      <c r="H154" s="95"/>
      <c r="I154" s="262"/>
    </row>
    <row r="155" spans="1:9">
      <c r="A155" s="263" t="s">
        <v>182</v>
      </c>
      <c r="B155" s="4" t="s">
        <v>340</v>
      </c>
      <c r="C155" s="112">
        <v>200</v>
      </c>
      <c r="D155" s="112"/>
      <c r="E155" s="112">
        <v>200</v>
      </c>
      <c r="F155" s="112">
        <v>200</v>
      </c>
      <c r="G155" s="649">
        <v>200</v>
      </c>
      <c r="H155" s="112">
        <v>200</v>
      </c>
      <c r="I155" s="284">
        <v>200</v>
      </c>
    </row>
    <row r="156" spans="1:9">
      <c r="A156" s="263" t="s">
        <v>184</v>
      </c>
      <c r="B156" s="46" t="s">
        <v>341</v>
      </c>
      <c r="C156" s="285">
        <v>1040</v>
      </c>
      <c r="D156" s="285"/>
      <c r="E156" s="285">
        <v>1040</v>
      </c>
      <c r="F156" s="285">
        <v>200</v>
      </c>
      <c r="G156" s="646">
        <v>200</v>
      </c>
      <c r="H156" s="285">
        <v>200</v>
      </c>
      <c r="I156" s="286">
        <v>300</v>
      </c>
    </row>
    <row r="157" spans="1:9">
      <c r="A157" s="261" t="s">
        <v>186</v>
      </c>
      <c r="B157" s="33"/>
      <c r="C157" s="113"/>
      <c r="D157" s="113"/>
      <c r="E157" s="113"/>
      <c r="F157" s="113"/>
      <c r="G157" s="635"/>
      <c r="H157" s="113"/>
      <c r="I157" s="287"/>
    </row>
    <row r="158" spans="1:9">
      <c r="A158" s="263" t="s">
        <v>187</v>
      </c>
      <c r="B158" s="4" t="s">
        <v>342</v>
      </c>
      <c r="C158" s="96">
        <v>1000</v>
      </c>
      <c r="D158" s="96"/>
      <c r="E158" s="96">
        <v>1000</v>
      </c>
      <c r="F158" s="96">
        <v>1000</v>
      </c>
      <c r="G158" s="628">
        <v>1000</v>
      </c>
      <c r="H158" s="96">
        <v>1000</v>
      </c>
      <c r="I158" s="264">
        <v>3000</v>
      </c>
    </row>
    <row r="159" spans="1:9">
      <c r="A159" s="263" t="s">
        <v>189</v>
      </c>
      <c r="B159" s="5" t="s">
        <v>343</v>
      </c>
      <c r="C159" s="96">
        <v>0</v>
      </c>
      <c r="D159" s="96"/>
      <c r="E159" s="96">
        <v>0</v>
      </c>
      <c r="F159" s="96">
        <v>0</v>
      </c>
      <c r="G159" s="626" t="s">
        <v>177</v>
      </c>
      <c r="H159" s="96">
        <v>0</v>
      </c>
      <c r="I159" s="264"/>
    </row>
    <row r="160" spans="1:9">
      <c r="A160" s="714" t="s">
        <v>191</v>
      </c>
      <c r="B160" s="33"/>
      <c r="C160" s="113"/>
      <c r="D160" s="113"/>
      <c r="E160" s="113"/>
      <c r="F160" s="113"/>
      <c r="G160" s="635"/>
      <c r="H160" s="113"/>
      <c r="I160" s="287"/>
    </row>
    <row r="161" spans="1:9">
      <c r="A161" s="288" t="s">
        <v>344</v>
      </c>
      <c r="B161" s="116" t="s">
        <v>345</v>
      </c>
      <c r="C161" s="114">
        <v>500</v>
      </c>
      <c r="D161" s="114"/>
      <c r="E161" s="114">
        <v>500</v>
      </c>
      <c r="F161" s="114">
        <v>0</v>
      </c>
      <c r="G161" s="648" t="s">
        <v>177</v>
      </c>
      <c r="H161" s="114">
        <v>0</v>
      </c>
      <c r="I161" s="289"/>
    </row>
    <row r="162" spans="1:9">
      <c r="A162" s="263" t="s">
        <v>346</v>
      </c>
      <c r="B162" s="4" t="s">
        <v>347</v>
      </c>
      <c r="C162" s="96">
        <v>500</v>
      </c>
      <c r="D162" s="96"/>
      <c r="E162" s="96">
        <v>500</v>
      </c>
      <c r="F162" s="96">
        <v>0</v>
      </c>
      <c r="G162" s="626" t="s">
        <v>177</v>
      </c>
      <c r="H162" s="96">
        <v>0</v>
      </c>
      <c r="I162" s="264"/>
    </row>
    <row r="163" spans="1:9">
      <c r="A163" s="253" t="s">
        <v>194</v>
      </c>
      <c r="B163" s="4" t="s">
        <v>348</v>
      </c>
      <c r="C163" s="96"/>
      <c r="D163" s="96"/>
      <c r="E163" s="96"/>
      <c r="F163" s="96"/>
      <c r="G163" s="626"/>
      <c r="H163" s="96"/>
      <c r="I163" s="264"/>
    </row>
    <row r="164" spans="1:9">
      <c r="A164" s="290" t="s">
        <v>196</v>
      </c>
      <c r="B164" s="48"/>
      <c r="C164" s="104">
        <f t="shared" ref="C164:D164" si="7">SUM(C141:C163)</f>
        <v>137985.43</v>
      </c>
      <c r="D164" s="104">
        <f t="shared" si="7"/>
        <v>0</v>
      </c>
      <c r="E164" s="104">
        <f t="shared" ref="E164:F164" si="8">SUM(E141:E163)</f>
        <v>131745.22</v>
      </c>
      <c r="F164" s="104">
        <f t="shared" si="8"/>
        <v>129883.30755</v>
      </c>
      <c r="G164" s="640">
        <v>131308.57999999999</v>
      </c>
      <c r="H164" s="104">
        <f t="shared" ref="H164:I164" si="9">SUM(H141:H163)</f>
        <v>124727.15</v>
      </c>
      <c r="I164" s="291">
        <f t="shared" si="9"/>
        <v>120218.82399999999</v>
      </c>
    </row>
    <row r="165" spans="1:9">
      <c r="A165" s="796" t="s">
        <v>349</v>
      </c>
      <c r="B165" s="47"/>
      <c r="C165" s="103"/>
      <c r="D165" s="103"/>
      <c r="E165" s="103"/>
      <c r="F165" s="103"/>
      <c r="G165" s="644"/>
      <c r="H165" s="103"/>
      <c r="I165" s="283"/>
    </row>
    <row r="166" spans="1:9">
      <c r="A166" s="261" t="s">
        <v>157</v>
      </c>
      <c r="B166" s="33"/>
      <c r="C166" s="95"/>
      <c r="D166" s="95"/>
      <c r="E166" s="95"/>
      <c r="F166" s="95"/>
      <c r="G166" s="627"/>
      <c r="H166" s="95"/>
      <c r="I166" s="262"/>
    </row>
    <row r="167" spans="1:9">
      <c r="A167" s="263" t="s">
        <v>350</v>
      </c>
      <c r="B167" s="794" t="s">
        <v>328</v>
      </c>
      <c r="C167" s="793">
        <v>45729</v>
      </c>
      <c r="D167" s="96"/>
      <c r="E167" s="96"/>
      <c r="F167" s="96"/>
      <c r="G167" s="628"/>
      <c r="H167" s="96"/>
      <c r="I167" s="264"/>
    </row>
    <row r="168" spans="1:9">
      <c r="A168" s="263" t="s">
        <v>351</v>
      </c>
      <c r="B168" s="794" t="s">
        <v>330</v>
      </c>
      <c r="C168" s="793">
        <v>7919.88</v>
      </c>
      <c r="D168" s="96"/>
      <c r="E168" s="96"/>
      <c r="F168" s="96"/>
      <c r="G168" s="628"/>
      <c r="H168" s="96"/>
      <c r="I168" s="264"/>
    </row>
    <row r="169" spans="1:9">
      <c r="A169" s="263" t="s">
        <v>331</v>
      </c>
      <c r="B169" s="794"/>
      <c r="C169" s="793">
        <v>2500</v>
      </c>
      <c r="D169" s="96"/>
      <c r="E169" s="96"/>
      <c r="F169" s="96"/>
      <c r="G169" s="628"/>
      <c r="H169" s="96"/>
      <c r="I169" s="264"/>
    </row>
    <row r="170" spans="1:9">
      <c r="A170" s="263" t="s">
        <v>203</v>
      </c>
      <c r="B170" s="794" t="s">
        <v>332</v>
      </c>
      <c r="C170" s="793">
        <v>23940</v>
      </c>
      <c r="D170" s="96"/>
      <c r="E170" s="96"/>
      <c r="F170" s="96"/>
      <c r="G170" s="628"/>
      <c r="H170" s="96"/>
      <c r="I170" s="264"/>
    </row>
    <row r="171" spans="1:9">
      <c r="A171" s="263" t="s">
        <v>164</v>
      </c>
      <c r="B171" s="794" t="s">
        <v>330</v>
      </c>
      <c r="C171" s="793">
        <v>3301.73</v>
      </c>
      <c r="D171" s="96"/>
      <c r="E171" s="96"/>
      <c r="F171" s="96"/>
      <c r="G171" s="628"/>
      <c r="H171" s="96"/>
      <c r="I171" s="264"/>
    </row>
    <row r="172" spans="1:9">
      <c r="A172" s="261" t="s">
        <v>165</v>
      </c>
      <c r="B172" s="33"/>
      <c r="C172" s="95"/>
      <c r="D172" s="95"/>
      <c r="E172" s="95"/>
      <c r="F172" s="95"/>
      <c r="G172" s="627"/>
      <c r="H172" s="95"/>
      <c r="I172" s="262"/>
    </row>
    <row r="173" spans="1:9">
      <c r="A173" s="263" t="s">
        <v>166</v>
      </c>
      <c r="B173" s="4" t="s">
        <v>333</v>
      </c>
      <c r="C173" s="96">
        <f>425*3</f>
        <v>1275</v>
      </c>
      <c r="D173" s="96"/>
      <c r="E173" s="96"/>
      <c r="F173" s="96"/>
      <c r="G173" s="628"/>
      <c r="H173" s="96"/>
      <c r="I173" s="264"/>
    </row>
    <row r="174" spans="1:9">
      <c r="A174" s="263" t="s">
        <v>334</v>
      </c>
      <c r="B174" s="4" t="s">
        <v>335</v>
      </c>
      <c r="C174" s="96"/>
      <c r="D174" s="96"/>
      <c r="E174" s="96"/>
      <c r="F174" s="96"/>
      <c r="G174" s="626"/>
      <c r="H174" s="96"/>
      <c r="I174" s="264"/>
    </row>
    <row r="175" spans="1:9">
      <c r="A175" s="261" t="s">
        <v>170</v>
      </c>
      <c r="B175" s="33"/>
      <c r="C175" s="95"/>
      <c r="D175" s="95"/>
      <c r="E175" s="95"/>
      <c r="F175" s="95"/>
      <c r="G175" s="627"/>
      <c r="H175" s="95"/>
      <c r="I175" s="262"/>
    </row>
    <row r="176" spans="1:9">
      <c r="A176" s="263" t="s">
        <v>171</v>
      </c>
      <c r="B176" s="4" t="s">
        <v>336</v>
      </c>
      <c r="C176" s="96">
        <v>1200</v>
      </c>
      <c r="D176" s="96"/>
      <c r="E176" s="96"/>
      <c r="F176" s="96"/>
      <c r="G176" s="628"/>
      <c r="H176" s="96"/>
      <c r="I176" s="264"/>
    </row>
    <row r="177" spans="1:9">
      <c r="A177" s="263" t="s">
        <v>173</v>
      </c>
      <c r="B177" s="4" t="s">
        <v>337</v>
      </c>
      <c r="C177" s="96">
        <v>200</v>
      </c>
      <c r="D177" s="96"/>
      <c r="E177" s="96"/>
      <c r="F177" s="96"/>
      <c r="G177" s="628"/>
      <c r="H177" s="96"/>
      <c r="I177" s="264"/>
    </row>
    <row r="178" spans="1:9">
      <c r="A178" s="263" t="s">
        <v>175</v>
      </c>
      <c r="B178" s="4" t="s">
        <v>338</v>
      </c>
      <c r="C178" s="96">
        <v>0</v>
      </c>
      <c r="D178" s="96"/>
      <c r="E178" s="96"/>
      <c r="F178" s="96"/>
      <c r="G178" s="626"/>
      <c r="H178" s="96"/>
      <c r="I178" s="264"/>
    </row>
    <row r="179" spans="1:9">
      <c r="A179" s="263" t="s">
        <v>179</v>
      </c>
      <c r="B179" s="4" t="s">
        <v>339</v>
      </c>
      <c r="C179" s="96">
        <v>100</v>
      </c>
      <c r="D179" s="96"/>
      <c r="E179" s="96"/>
      <c r="F179" s="96"/>
      <c r="G179" s="628"/>
      <c r="H179" s="96"/>
      <c r="I179" s="264"/>
    </row>
    <row r="180" spans="1:9">
      <c r="A180" s="261" t="s">
        <v>181</v>
      </c>
      <c r="B180" s="33"/>
      <c r="C180" s="95"/>
      <c r="D180" s="95"/>
      <c r="E180" s="95"/>
      <c r="F180" s="95"/>
      <c r="G180" s="627"/>
      <c r="H180" s="95"/>
      <c r="I180" s="262"/>
    </row>
    <row r="181" spans="1:9">
      <c r="A181" s="263" t="s">
        <v>182</v>
      </c>
      <c r="B181" s="4" t="s">
        <v>340</v>
      </c>
      <c r="C181" s="112">
        <v>200</v>
      </c>
      <c r="D181" s="112"/>
      <c r="E181" s="112"/>
      <c r="F181" s="112"/>
      <c r="G181" s="649"/>
      <c r="H181" s="112"/>
      <c r="I181" s="284"/>
    </row>
    <row r="182" spans="1:9">
      <c r="A182" s="263" t="s">
        <v>184</v>
      </c>
      <c r="B182" s="46" t="s">
        <v>341</v>
      </c>
      <c r="C182" s="285">
        <v>1500</v>
      </c>
      <c r="D182" s="285"/>
      <c r="E182" s="285"/>
      <c r="F182" s="285"/>
      <c r="G182" s="646"/>
      <c r="H182" s="285"/>
      <c r="I182" s="286"/>
    </row>
    <row r="183" spans="1:9">
      <c r="A183" s="261" t="s">
        <v>186</v>
      </c>
      <c r="B183" s="33"/>
      <c r="C183" s="113"/>
      <c r="D183" s="113"/>
      <c r="E183" s="113"/>
      <c r="F183" s="113"/>
      <c r="G183" s="635"/>
      <c r="H183" s="113"/>
      <c r="I183" s="287"/>
    </row>
    <row r="184" spans="1:9">
      <c r="A184" s="263" t="s">
        <v>187</v>
      </c>
      <c r="B184" s="4" t="s">
        <v>342</v>
      </c>
      <c r="C184" s="96">
        <v>1000</v>
      </c>
      <c r="D184" s="96"/>
      <c r="E184" s="96"/>
      <c r="F184" s="96"/>
      <c r="G184" s="628"/>
      <c r="H184" s="96"/>
      <c r="I184" s="264"/>
    </row>
    <row r="185" spans="1:9">
      <c r="A185" s="263" t="s">
        <v>189</v>
      </c>
      <c r="B185" s="5" t="s">
        <v>343</v>
      </c>
      <c r="C185" s="96">
        <v>0</v>
      </c>
      <c r="D185" s="96"/>
      <c r="E185" s="96"/>
      <c r="F185" s="96"/>
      <c r="G185" s="626"/>
      <c r="H185" s="96"/>
      <c r="I185" s="264"/>
    </row>
    <row r="186" spans="1:9">
      <c r="A186" s="714" t="s">
        <v>191</v>
      </c>
      <c r="B186" s="33"/>
      <c r="C186" s="113"/>
      <c r="D186" s="113"/>
      <c r="E186" s="113"/>
      <c r="F186" s="113"/>
      <c r="G186" s="635"/>
      <c r="H186" s="113"/>
      <c r="I186" s="287"/>
    </row>
    <row r="187" spans="1:9">
      <c r="A187" s="288" t="s">
        <v>352</v>
      </c>
      <c r="B187" s="116" t="s">
        <v>345</v>
      </c>
      <c r="C187" s="114">
        <v>8000</v>
      </c>
      <c r="D187" s="114"/>
      <c r="E187" s="114"/>
      <c r="F187" s="114"/>
      <c r="G187" s="648"/>
      <c r="H187" s="114"/>
      <c r="I187" s="289"/>
    </row>
    <row r="188" spans="1:9">
      <c r="A188" s="263" t="s">
        <v>353</v>
      </c>
      <c r="B188" s="4" t="s">
        <v>347</v>
      </c>
      <c r="C188" s="96">
        <v>0</v>
      </c>
      <c r="D188" s="96"/>
      <c r="E188" s="96"/>
      <c r="F188" s="96"/>
      <c r="G188" s="626"/>
      <c r="H188" s="96"/>
      <c r="I188" s="264"/>
    </row>
    <row r="189" spans="1:9">
      <c r="A189" s="253" t="s">
        <v>194</v>
      </c>
      <c r="B189" s="4" t="s">
        <v>348</v>
      </c>
      <c r="C189" s="96"/>
      <c r="D189" s="96"/>
      <c r="E189" s="96"/>
      <c r="F189" s="96"/>
      <c r="G189" s="626"/>
      <c r="H189" s="96"/>
      <c r="I189" s="264"/>
    </row>
    <row r="190" spans="1:9">
      <c r="A190" s="290" t="s">
        <v>196</v>
      </c>
      <c r="B190" s="48"/>
      <c r="C190" s="104">
        <f>SUM(C167:C189)</f>
        <v>96865.61</v>
      </c>
      <c r="D190" s="104"/>
      <c r="E190" s="104">
        <f t="shared" ref="E190:F190" si="10">SUM(E167:E189)</f>
        <v>0</v>
      </c>
      <c r="F190" s="104">
        <f t="shared" si="10"/>
        <v>0</v>
      </c>
      <c r="G190" s="640"/>
      <c r="H190" s="104">
        <f t="shared" ref="H190:I190" si="11">SUM(H167:H189)</f>
        <v>0</v>
      </c>
      <c r="I190" s="291">
        <f t="shared" si="11"/>
        <v>0</v>
      </c>
    </row>
    <row r="191" spans="1:9">
      <c r="A191" s="157" t="s">
        <v>354</v>
      </c>
      <c r="B191" s="3"/>
      <c r="C191" s="105">
        <f>SUM(C26)</f>
        <v>133517.68</v>
      </c>
      <c r="D191" s="230">
        <v>152553</v>
      </c>
      <c r="E191" s="105">
        <f>SUM(E26)</f>
        <v>129137.19</v>
      </c>
      <c r="F191" s="105">
        <f>SUM(F26)</f>
        <v>116182.44755</v>
      </c>
      <c r="G191" s="628">
        <v>105923.64</v>
      </c>
      <c r="H191" s="105">
        <f>SUM(H26)</f>
        <v>102380.15</v>
      </c>
      <c r="I191" s="292">
        <f t="shared" ref="I191" si="12">I26</f>
        <v>156339.82399999999</v>
      </c>
    </row>
    <row r="192" spans="1:9">
      <c r="A192" s="157" t="s">
        <v>355</v>
      </c>
      <c r="B192" s="3"/>
      <c r="C192" s="105">
        <f>SUM(C57)</f>
        <v>134000.47</v>
      </c>
      <c r="D192" s="230">
        <v>116201</v>
      </c>
      <c r="E192" s="105">
        <f>SUM(E57)</f>
        <v>117722</v>
      </c>
      <c r="F192" s="105">
        <f>SUM(F57)</f>
        <v>110177.83755</v>
      </c>
      <c r="G192" s="628">
        <v>124973.64</v>
      </c>
      <c r="H192" s="105">
        <f>SUM(H57)</f>
        <v>120930.15</v>
      </c>
      <c r="I192" s="292">
        <f t="shared" ref="I192" si="13">I57</f>
        <v>124900.77399999999</v>
      </c>
    </row>
    <row r="193" spans="1:9">
      <c r="A193" s="158" t="s">
        <v>356</v>
      </c>
      <c r="B193" s="3"/>
      <c r="C193" s="105">
        <f>SUM(C95)</f>
        <v>200235.41</v>
      </c>
      <c r="D193" s="230">
        <v>198711</v>
      </c>
      <c r="E193" s="105">
        <f>SUM(E95)</f>
        <v>184151.81</v>
      </c>
      <c r="F193" s="105">
        <f>SUM(F95)</f>
        <v>183270.06199999998</v>
      </c>
      <c r="G193" s="628">
        <v>207121.14</v>
      </c>
      <c r="H193" s="105">
        <f>SUM(H95)</f>
        <v>184016</v>
      </c>
      <c r="I193" s="292">
        <f t="shared" ref="I193" si="14">I95</f>
        <v>228334.06399999998</v>
      </c>
    </row>
    <row r="194" spans="1:9">
      <c r="A194" s="157" t="s">
        <v>357</v>
      </c>
      <c r="B194" s="3"/>
      <c r="C194" s="105">
        <f>SUM(C138)</f>
        <v>102495.01000000001</v>
      </c>
      <c r="D194" s="230">
        <v>103142</v>
      </c>
      <c r="E194" s="105">
        <f>SUM(E138)</f>
        <v>106517.55</v>
      </c>
      <c r="F194" s="105">
        <f>SUM(F138)</f>
        <v>102243.25754999999</v>
      </c>
      <c r="G194" s="628">
        <v>121269.97</v>
      </c>
      <c r="H194" s="105">
        <f>SUM(H138)</f>
        <v>99032.15</v>
      </c>
      <c r="I194" s="292">
        <f t="shared" ref="I194" si="15">I138</f>
        <v>111588.27499999999</v>
      </c>
    </row>
    <row r="195" spans="1:9">
      <c r="A195" s="158" t="s">
        <v>358</v>
      </c>
      <c r="B195" s="3"/>
      <c r="C195" s="105">
        <f>SUM(C164)</f>
        <v>137985.43</v>
      </c>
      <c r="D195" s="230">
        <v>129337</v>
      </c>
      <c r="E195" s="105">
        <f>SUM(E164)</f>
        <v>131745.22</v>
      </c>
      <c r="F195" s="105">
        <f>SUM(F164)</f>
        <v>129883.30755</v>
      </c>
      <c r="G195" s="628">
        <v>131308.57999999999</v>
      </c>
      <c r="H195" s="105">
        <f>SUM(H164)</f>
        <v>124727.15</v>
      </c>
      <c r="I195" s="292">
        <f>I164</f>
        <v>120218.82399999999</v>
      </c>
    </row>
    <row r="196" spans="1:9">
      <c r="A196" s="771" t="s">
        <v>359</v>
      </c>
      <c r="B196" s="772"/>
      <c r="C196" s="773">
        <f>C190</f>
        <v>96865.61</v>
      </c>
      <c r="D196" s="773"/>
      <c r="E196" s="773"/>
      <c r="F196" s="773"/>
      <c r="G196" s="649"/>
      <c r="H196" s="773"/>
      <c r="I196" s="774"/>
    </row>
    <row r="197" spans="1:9">
      <c r="A197" s="293" t="s">
        <v>360</v>
      </c>
      <c r="B197" s="294"/>
      <c r="C197" s="295">
        <f>SUM(C191:C196)</f>
        <v>805099.61</v>
      </c>
      <c r="D197" s="295">
        <f>SUM(D191:D196)</f>
        <v>699944</v>
      </c>
      <c r="E197" s="295">
        <f>SUM(E191:E195)</f>
        <v>669273.77</v>
      </c>
      <c r="F197" s="295">
        <f>SUM(F191:F195)</f>
        <v>641756.9121999999</v>
      </c>
      <c r="G197" s="640">
        <v>690596.97</v>
      </c>
      <c r="H197" s="295">
        <f>SUM(H191:H195)</f>
        <v>631085.6</v>
      </c>
      <c r="I197" s="296">
        <f>SUM(I191:I195)</f>
        <v>741381.76100000006</v>
      </c>
    </row>
    <row r="198" spans="1:9">
      <c r="A198" s="49"/>
      <c r="B198" s="49"/>
      <c r="C198" s="106"/>
      <c r="D198" s="106"/>
      <c r="E198" s="106"/>
      <c r="F198" s="106"/>
      <c r="G198" s="650"/>
      <c r="H198" s="106"/>
      <c r="I198" s="106"/>
    </row>
    <row r="199" spans="1:9">
      <c r="A199" s="3"/>
      <c r="B199" s="3"/>
      <c r="C199" s="107"/>
      <c r="D199" s="107"/>
      <c r="E199" s="107"/>
      <c r="F199" s="107"/>
      <c r="G199" s="651"/>
      <c r="H199" s="107"/>
      <c r="I199" s="107"/>
    </row>
    <row r="200" spans="1:9">
      <c r="A200" s="3"/>
      <c r="B200" s="3"/>
      <c r="C200" s="107"/>
      <c r="D200" s="107"/>
      <c r="E200" s="107"/>
      <c r="F200" s="107"/>
      <c r="G200" s="651"/>
      <c r="H200" s="107"/>
      <c r="I200" s="107"/>
    </row>
    <row r="201" spans="1:9" ht="15.95" thickBot="1">
      <c r="A201" s="3"/>
      <c r="B201" s="3"/>
      <c r="C201" s="107"/>
      <c r="D201" s="107"/>
      <c r="E201" s="107"/>
      <c r="F201" s="107"/>
      <c r="G201" s="651"/>
      <c r="H201" s="107"/>
      <c r="I201" s="10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1"/>
  <sheetViews>
    <sheetView zoomScale="64" zoomScaleNormal="64" workbookViewId="0">
      <pane xSplit="2" topLeftCell="C1" activePane="topRight" state="frozen"/>
      <selection pane="topRight" activeCell="E154" sqref="E154"/>
      <selection activeCell="A86" sqref="A86"/>
    </sheetView>
  </sheetViews>
  <sheetFormatPr defaultColWidth="10.85546875" defaultRowHeight="15" customHeight="1"/>
  <cols>
    <col min="1" max="1" width="33.7109375" style="1" customWidth="1"/>
    <col min="2" max="3" width="18.85546875" style="1" customWidth="1"/>
    <col min="4" max="4" width="18.85546875" style="1" hidden="1" customWidth="1"/>
    <col min="5" max="8" width="18.85546875" style="1" customWidth="1"/>
    <col min="9" max="9" width="18.85546875" style="23" customWidth="1"/>
    <col min="10" max="10" width="10.85546875" style="1"/>
    <col min="11" max="11" width="12.42578125" style="1" bestFit="1" customWidth="1"/>
    <col min="12" max="16384" width="10.85546875" style="1"/>
  </cols>
  <sheetData>
    <row r="1" spans="1:9" ht="40.5" customHeight="1">
      <c r="A1" s="708" t="s">
        <v>149</v>
      </c>
      <c r="B1" s="711" t="s">
        <v>150</v>
      </c>
      <c r="C1" s="715" t="s">
        <v>3</v>
      </c>
      <c r="D1" s="715" t="s">
        <v>4</v>
      </c>
      <c r="E1" s="697" t="s">
        <v>5</v>
      </c>
      <c r="F1" s="715" t="s">
        <v>7</v>
      </c>
      <c r="G1" s="653" t="s">
        <v>9</v>
      </c>
      <c r="H1" s="715" t="s">
        <v>154</v>
      </c>
      <c r="I1" s="716" t="s">
        <v>14</v>
      </c>
    </row>
    <row r="2" spans="1:9">
      <c r="A2" s="297" t="s">
        <v>361</v>
      </c>
      <c r="B2" s="22"/>
      <c r="C2" s="115"/>
      <c r="D2" s="115"/>
      <c r="E2" s="115"/>
      <c r="F2" s="115"/>
      <c r="G2" s="622"/>
      <c r="H2" s="115"/>
      <c r="I2" s="298"/>
    </row>
    <row r="3" spans="1:9">
      <c r="A3" s="261" t="s">
        <v>157</v>
      </c>
      <c r="B3" s="17"/>
      <c r="C3" s="159"/>
      <c r="D3" s="159"/>
      <c r="E3" s="159"/>
      <c r="F3" s="159"/>
      <c r="G3" s="623"/>
      <c r="H3" s="129"/>
      <c r="I3" s="299"/>
    </row>
    <row r="4" spans="1:9">
      <c r="A4" s="300" t="s">
        <v>362</v>
      </c>
      <c r="B4" s="9" t="s">
        <v>363</v>
      </c>
      <c r="C4" s="130"/>
      <c r="D4" s="130"/>
      <c r="E4" s="130"/>
      <c r="F4" s="130"/>
      <c r="G4" s="625"/>
      <c r="H4" s="130"/>
      <c r="I4" s="301"/>
    </row>
    <row r="5" spans="1:9">
      <c r="A5" s="316" t="s">
        <v>364</v>
      </c>
      <c r="B5" s="92" t="s">
        <v>365</v>
      </c>
      <c r="C5" s="130">
        <v>10920</v>
      </c>
      <c r="D5" s="130"/>
      <c r="E5" s="130">
        <f>10400</f>
        <v>10400</v>
      </c>
      <c r="F5" s="130">
        <f>10400+7575.75</f>
        <v>17975.75</v>
      </c>
      <c r="G5" s="625">
        <v>17940</v>
      </c>
      <c r="H5" s="130">
        <v>13130</v>
      </c>
      <c r="I5" s="301">
        <v>13130</v>
      </c>
    </row>
    <row r="6" spans="1:9">
      <c r="A6" s="316" t="s">
        <v>366</v>
      </c>
      <c r="B6" s="658" t="s">
        <v>367</v>
      </c>
      <c r="C6" s="659">
        <v>1141.1400000000001</v>
      </c>
      <c r="D6" s="659"/>
      <c r="E6" s="659">
        <v>1566.8</v>
      </c>
      <c r="F6" s="659">
        <v>1092</v>
      </c>
      <c r="G6" s="657"/>
      <c r="H6" s="659"/>
      <c r="I6" s="660"/>
    </row>
    <row r="7" spans="1:9">
      <c r="A7" s="300" t="s">
        <v>368</v>
      </c>
      <c r="B7" s="10" t="s">
        <v>369</v>
      </c>
      <c r="C7" s="131"/>
      <c r="D7" s="131"/>
      <c r="E7" s="131"/>
      <c r="F7" s="131"/>
      <c r="G7" s="626"/>
      <c r="H7" s="131"/>
      <c r="I7" s="302"/>
    </row>
    <row r="8" spans="1:9">
      <c r="A8" s="300" t="s">
        <v>370</v>
      </c>
      <c r="B8" s="9" t="s">
        <v>371</v>
      </c>
      <c r="C8" s="130">
        <v>13440</v>
      </c>
      <c r="D8" s="130"/>
      <c r="E8" s="130">
        <v>13440</v>
      </c>
      <c r="F8" s="130">
        <v>13440</v>
      </c>
      <c r="G8" s="625">
        <v>18000</v>
      </c>
      <c r="H8" s="130">
        <v>12000</v>
      </c>
      <c r="I8" s="303">
        <v>12000</v>
      </c>
    </row>
    <row r="9" spans="1:9">
      <c r="A9" s="300" t="s">
        <v>372</v>
      </c>
      <c r="B9" s="9" t="s">
        <v>373</v>
      </c>
      <c r="C9" s="130"/>
      <c r="D9" s="130"/>
      <c r="E9" s="130"/>
      <c r="F9" s="130"/>
      <c r="G9" s="624"/>
      <c r="H9" s="130"/>
      <c r="I9" s="303"/>
    </row>
    <row r="10" spans="1:9">
      <c r="A10" s="261" t="s">
        <v>170</v>
      </c>
      <c r="B10" s="16"/>
      <c r="C10" s="132"/>
      <c r="D10" s="132"/>
      <c r="E10" s="132"/>
      <c r="F10" s="132"/>
      <c r="G10" s="627"/>
      <c r="H10" s="132"/>
      <c r="I10" s="304"/>
    </row>
    <row r="11" spans="1:9">
      <c r="A11" s="300" t="s">
        <v>374</v>
      </c>
      <c r="B11" s="9" t="s">
        <v>375</v>
      </c>
      <c r="C11" s="130"/>
      <c r="D11" s="130"/>
      <c r="E11" s="130"/>
      <c r="F11" s="130"/>
      <c r="G11" s="624"/>
      <c r="H11" s="130"/>
      <c r="I11" s="303"/>
    </row>
    <row r="12" spans="1:9">
      <c r="A12" s="300" t="s">
        <v>175</v>
      </c>
      <c r="B12" s="9" t="s">
        <v>376</v>
      </c>
      <c r="C12" s="130"/>
      <c r="D12" s="130"/>
      <c r="E12" s="130"/>
      <c r="F12" s="130"/>
      <c r="G12" s="624"/>
      <c r="H12" s="130"/>
      <c r="I12" s="303"/>
    </row>
    <row r="13" spans="1:9">
      <c r="A13" s="300" t="s">
        <v>377</v>
      </c>
      <c r="B13" s="9" t="s">
        <v>378</v>
      </c>
      <c r="C13" s="130"/>
      <c r="D13" s="130"/>
      <c r="E13" s="130"/>
      <c r="F13" s="130"/>
      <c r="G13" s="624"/>
      <c r="H13" s="130"/>
      <c r="I13" s="303"/>
    </row>
    <row r="14" spans="1:9">
      <c r="A14" s="300" t="s">
        <v>379</v>
      </c>
      <c r="B14" s="9" t="s">
        <v>380</v>
      </c>
      <c r="C14" s="130">
        <v>100</v>
      </c>
      <c r="D14" s="130"/>
      <c r="E14" s="130">
        <v>100</v>
      </c>
      <c r="F14" s="130">
        <v>100</v>
      </c>
      <c r="G14" s="625">
        <v>100</v>
      </c>
      <c r="H14" s="130">
        <v>100</v>
      </c>
      <c r="I14" s="303">
        <v>100</v>
      </c>
    </row>
    <row r="15" spans="1:9">
      <c r="A15" s="305" t="s">
        <v>381</v>
      </c>
      <c r="B15" s="16"/>
      <c r="C15" s="132"/>
      <c r="D15" s="132"/>
      <c r="E15" s="132"/>
      <c r="F15" s="132"/>
      <c r="G15" s="627"/>
      <c r="H15" s="132"/>
      <c r="I15" s="304"/>
    </row>
    <row r="16" spans="1:9">
      <c r="A16" s="300" t="s">
        <v>382</v>
      </c>
      <c r="B16" s="9" t="s">
        <v>383</v>
      </c>
      <c r="C16" s="130">
        <v>30000</v>
      </c>
      <c r="D16" s="130"/>
      <c r="E16" s="130">
        <v>30000</v>
      </c>
      <c r="F16" s="130">
        <v>30000</v>
      </c>
      <c r="G16" s="625">
        <v>30000</v>
      </c>
      <c r="H16" s="130">
        <v>30000</v>
      </c>
      <c r="I16" s="301">
        <v>30000</v>
      </c>
    </row>
    <row r="17" spans="1:9">
      <c r="A17" s="316" t="s">
        <v>384</v>
      </c>
      <c r="B17" s="92" t="s">
        <v>385</v>
      </c>
      <c r="C17" s="136"/>
      <c r="D17" s="136"/>
      <c r="E17" s="136"/>
      <c r="F17" s="136"/>
      <c r="G17" s="657"/>
      <c r="H17" s="136"/>
      <c r="I17" s="317"/>
    </row>
    <row r="18" spans="1:9">
      <c r="A18" s="300" t="s">
        <v>386</v>
      </c>
      <c r="B18" s="9" t="s">
        <v>387</v>
      </c>
      <c r="C18" s="130"/>
      <c r="D18" s="130"/>
      <c r="E18" s="130"/>
      <c r="F18" s="130"/>
      <c r="G18" s="624"/>
      <c r="H18" s="130"/>
      <c r="I18" s="301"/>
    </row>
    <row r="19" spans="1:9">
      <c r="A19" s="300" t="s">
        <v>388</v>
      </c>
      <c r="B19" s="9" t="s">
        <v>389</v>
      </c>
      <c r="C19" s="130">
        <v>2500</v>
      </c>
      <c r="D19" s="130"/>
      <c r="E19" s="130">
        <v>2500</v>
      </c>
      <c r="F19" s="130">
        <v>2500</v>
      </c>
      <c r="G19" s="625">
        <v>2500</v>
      </c>
      <c r="H19" s="130">
        <v>2500</v>
      </c>
      <c r="I19" s="303">
        <v>2000</v>
      </c>
    </row>
    <row r="20" spans="1:9">
      <c r="A20" s="300" t="s">
        <v>390</v>
      </c>
      <c r="B20" s="9" t="s">
        <v>391</v>
      </c>
      <c r="C20" s="130"/>
      <c r="D20" s="130"/>
      <c r="E20" s="130"/>
      <c r="F20" s="130"/>
      <c r="G20" s="624"/>
      <c r="H20" s="130"/>
      <c r="I20" s="303"/>
    </row>
    <row r="21" spans="1:9">
      <c r="A21" s="306" t="s">
        <v>392</v>
      </c>
      <c r="B21" s="11" t="s">
        <v>393</v>
      </c>
      <c r="C21" s="133">
        <v>2500</v>
      </c>
      <c r="D21" s="133"/>
      <c r="E21" s="133">
        <v>2500</v>
      </c>
      <c r="F21" s="133">
        <v>2500</v>
      </c>
      <c r="G21" s="628">
        <v>2500</v>
      </c>
      <c r="H21" s="133">
        <v>2500</v>
      </c>
      <c r="I21" s="301">
        <v>2000</v>
      </c>
    </row>
    <row r="22" spans="1:9">
      <c r="A22" s="306" t="s">
        <v>394</v>
      </c>
      <c r="B22" s="11" t="s">
        <v>389</v>
      </c>
      <c r="C22" s="133">
        <v>5000</v>
      </c>
      <c r="D22" s="133"/>
      <c r="E22" s="685">
        <v>5000</v>
      </c>
      <c r="F22" s="133"/>
      <c r="G22" s="626"/>
      <c r="H22" s="133"/>
      <c r="I22" s="301"/>
    </row>
    <row r="23" spans="1:9">
      <c r="A23" s="300" t="s">
        <v>395</v>
      </c>
      <c r="B23" s="9" t="s">
        <v>396</v>
      </c>
      <c r="C23" s="130">
        <v>500</v>
      </c>
      <c r="D23" s="130"/>
      <c r="E23" s="130">
        <v>500</v>
      </c>
      <c r="F23" s="130">
        <v>500</v>
      </c>
      <c r="G23" s="625">
        <v>500</v>
      </c>
      <c r="H23" s="130">
        <v>500</v>
      </c>
      <c r="I23" s="303">
        <v>1000</v>
      </c>
    </row>
    <row r="24" spans="1:9">
      <c r="A24" s="300" t="s">
        <v>397</v>
      </c>
      <c r="B24" s="9" t="s">
        <v>398</v>
      </c>
      <c r="C24" s="130"/>
      <c r="D24" s="130"/>
      <c r="E24" s="130"/>
      <c r="F24" s="130"/>
      <c r="G24" s="624"/>
      <c r="H24" s="130"/>
      <c r="I24" s="303"/>
    </row>
    <row r="25" spans="1:9">
      <c r="A25" s="300" t="s">
        <v>399</v>
      </c>
      <c r="B25" s="9" t="s">
        <v>400</v>
      </c>
      <c r="C25" s="130">
        <v>250</v>
      </c>
      <c r="D25" s="130"/>
      <c r="E25" s="130">
        <v>250</v>
      </c>
      <c r="F25" s="130">
        <v>250</v>
      </c>
      <c r="G25" s="625">
        <v>250</v>
      </c>
      <c r="H25" s="130">
        <v>250</v>
      </c>
      <c r="I25" s="303">
        <v>250</v>
      </c>
    </row>
    <row r="26" spans="1:9">
      <c r="A26" s="300" t="s">
        <v>401</v>
      </c>
      <c r="B26" s="9" t="s">
        <v>402</v>
      </c>
      <c r="C26" s="130"/>
      <c r="D26" s="130"/>
      <c r="E26" s="130"/>
      <c r="F26" s="130"/>
      <c r="G26" s="624"/>
      <c r="H26" s="130"/>
      <c r="I26" s="303"/>
    </row>
    <row r="27" spans="1:9">
      <c r="A27" s="300" t="s">
        <v>184</v>
      </c>
      <c r="B27" s="9" t="s">
        <v>403</v>
      </c>
      <c r="C27" s="133">
        <v>16500</v>
      </c>
      <c r="D27" s="130"/>
      <c r="E27" s="130">
        <v>20013.75</v>
      </c>
      <c r="F27" s="130">
        <v>9000</v>
      </c>
      <c r="G27" s="625">
        <v>9000</v>
      </c>
      <c r="H27" s="130">
        <v>9000</v>
      </c>
      <c r="I27" s="301">
        <v>12000</v>
      </c>
    </row>
    <row r="28" spans="1:9">
      <c r="A28" s="300" t="s">
        <v>404</v>
      </c>
      <c r="B28" s="9" t="s">
        <v>405</v>
      </c>
      <c r="C28" s="133">
        <v>20000</v>
      </c>
      <c r="D28" s="130"/>
      <c r="E28" s="130">
        <v>17000</v>
      </c>
      <c r="F28" s="130">
        <v>15000</v>
      </c>
      <c r="G28" s="625">
        <v>20000</v>
      </c>
      <c r="H28" s="130">
        <v>60000</v>
      </c>
      <c r="I28" s="301">
        <v>60000</v>
      </c>
    </row>
    <row r="29" spans="1:9">
      <c r="A29" s="307" t="s">
        <v>406</v>
      </c>
      <c r="B29" s="18"/>
      <c r="C29" s="677"/>
      <c r="D29" s="132"/>
      <c r="E29" s="677"/>
      <c r="F29" s="132"/>
      <c r="G29" s="627"/>
      <c r="H29" s="132"/>
      <c r="I29" s="304"/>
    </row>
    <row r="30" spans="1:9">
      <c r="A30" s="300" t="s">
        <v>407</v>
      </c>
      <c r="B30" s="9" t="s">
        <v>408</v>
      </c>
      <c r="C30" s="675"/>
      <c r="D30" s="130"/>
      <c r="E30" s="675"/>
      <c r="F30" s="130"/>
      <c r="G30" s="624"/>
      <c r="H30" s="130"/>
      <c r="I30" s="303"/>
    </row>
    <row r="31" spans="1:9">
      <c r="A31" s="300" t="s">
        <v>409</v>
      </c>
      <c r="B31" s="9" t="s">
        <v>410</v>
      </c>
      <c r="C31" s="675"/>
      <c r="D31" s="130"/>
      <c r="E31" s="675"/>
      <c r="F31" s="130"/>
      <c r="G31" s="624"/>
      <c r="H31" s="130"/>
      <c r="I31" s="303"/>
    </row>
    <row r="32" spans="1:9">
      <c r="A32" s="306" t="s">
        <v>411</v>
      </c>
      <c r="B32" s="11" t="s">
        <v>412</v>
      </c>
      <c r="C32" s="133">
        <v>2000</v>
      </c>
      <c r="D32" s="133"/>
      <c r="E32" s="133">
        <v>2000</v>
      </c>
      <c r="F32" s="133">
        <v>2000</v>
      </c>
      <c r="G32" s="628">
        <v>2000</v>
      </c>
      <c r="H32" s="133">
        <v>2000</v>
      </c>
      <c r="I32" s="301">
        <v>3000</v>
      </c>
    </row>
    <row r="33" spans="1:9">
      <c r="A33" s="308" t="s">
        <v>413</v>
      </c>
      <c r="B33" s="13" t="s">
        <v>414</v>
      </c>
      <c r="C33" s="134">
        <v>200</v>
      </c>
      <c r="D33" s="134"/>
      <c r="E33" s="134">
        <v>200</v>
      </c>
      <c r="F33" s="134">
        <v>200</v>
      </c>
      <c r="G33" s="630">
        <v>200</v>
      </c>
      <c r="H33" s="134">
        <v>200</v>
      </c>
      <c r="I33" s="309">
        <v>500</v>
      </c>
    </row>
    <row r="34" spans="1:9">
      <c r="A34" s="310" t="s">
        <v>415</v>
      </c>
      <c r="B34" s="311"/>
      <c r="C34" s="312"/>
      <c r="D34" s="312"/>
      <c r="E34" s="312"/>
      <c r="F34" s="312"/>
      <c r="G34" s="631"/>
      <c r="H34" s="312"/>
      <c r="I34" s="313"/>
    </row>
    <row r="35" spans="1:9">
      <c r="A35" s="314" t="s">
        <v>362</v>
      </c>
      <c r="B35" s="91" t="s">
        <v>416</v>
      </c>
      <c r="C35" s="135">
        <v>7500</v>
      </c>
      <c r="D35" s="135"/>
      <c r="E35" s="135">
        <v>7500</v>
      </c>
      <c r="F35" s="135">
        <v>7500</v>
      </c>
      <c r="G35" s="632">
        <v>7500</v>
      </c>
      <c r="H35" s="135">
        <v>7500</v>
      </c>
      <c r="I35" s="315">
        <v>7500</v>
      </c>
    </row>
    <row r="36" spans="1:9">
      <c r="A36" s="316" t="s">
        <v>407</v>
      </c>
      <c r="B36" s="92"/>
      <c r="C36" s="676"/>
      <c r="D36" s="136"/>
      <c r="E36" s="676"/>
      <c r="F36" s="136"/>
      <c r="G36" s="624"/>
      <c r="H36" s="136"/>
      <c r="I36" s="317"/>
    </row>
    <row r="37" spans="1:9">
      <c r="A37" s="318" t="s">
        <v>417</v>
      </c>
      <c r="B37" s="17"/>
      <c r="C37" s="159"/>
      <c r="D37" s="129"/>
      <c r="E37" s="159"/>
      <c r="F37" s="129"/>
      <c r="G37" s="623"/>
      <c r="H37" s="129"/>
      <c r="I37" s="299"/>
    </row>
    <row r="38" spans="1:9">
      <c r="A38" s="300" t="s">
        <v>417</v>
      </c>
      <c r="B38" s="9" t="s">
        <v>418</v>
      </c>
      <c r="C38" s="135">
        <v>1200</v>
      </c>
      <c r="D38" s="770"/>
      <c r="E38" s="135">
        <v>1050</v>
      </c>
      <c r="F38" s="130"/>
      <c r="G38" s="624"/>
      <c r="H38" s="130"/>
      <c r="I38" s="303"/>
    </row>
    <row r="39" spans="1:9" hidden="1">
      <c r="A39" s="300" t="s">
        <v>377</v>
      </c>
      <c r="B39" s="9" t="s">
        <v>419</v>
      </c>
      <c r="C39" s="684"/>
      <c r="D39" s="130"/>
      <c r="E39" s="684"/>
      <c r="F39" s="130"/>
      <c r="G39" s="624"/>
      <c r="H39" s="130"/>
      <c r="I39" s="303"/>
    </row>
    <row r="40" spans="1:9" hidden="1">
      <c r="A40" s="300" t="s">
        <v>395</v>
      </c>
      <c r="B40" s="9" t="s">
        <v>420</v>
      </c>
      <c r="C40" s="684"/>
      <c r="D40" s="130"/>
      <c r="E40" s="684"/>
      <c r="F40" s="130"/>
      <c r="G40" s="624"/>
      <c r="H40" s="130"/>
      <c r="I40" s="303"/>
    </row>
    <row r="41" spans="1:9" hidden="1">
      <c r="A41" s="300" t="s">
        <v>421</v>
      </c>
      <c r="B41" s="9" t="s">
        <v>422</v>
      </c>
      <c r="C41" s="684"/>
      <c r="D41" s="130"/>
      <c r="E41" s="684"/>
      <c r="F41" s="130"/>
      <c r="G41" s="624"/>
      <c r="H41" s="130"/>
      <c r="I41" s="303"/>
    </row>
    <row r="42" spans="1:9" hidden="1">
      <c r="A42" s="300" t="s">
        <v>423</v>
      </c>
      <c r="B42" s="9" t="s">
        <v>420</v>
      </c>
      <c r="C42" s="684"/>
      <c r="D42" s="130"/>
      <c r="E42" s="684"/>
      <c r="F42" s="130"/>
      <c r="G42" s="624"/>
      <c r="H42" s="130"/>
      <c r="I42" s="303"/>
    </row>
    <row r="43" spans="1:9" hidden="1">
      <c r="A43" s="300" t="s">
        <v>424</v>
      </c>
      <c r="B43" s="9" t="s">
        <v>425</v>
      </c>
      <c r="C43" s="684"/>
      <c r="D43" s="130"/>
      <c r="E43" s="684"/>
      <c r="F43" s="130"/>
      <c r="G43" s="624"/>
      <c r="H43" s="130"/>
      <c r="I43" s="303"/>
    </row>
    <row r="44" spans="1:9" hidden="1">
      <c r="A44" s="300" t="s">
        <v>426</v>
      </c>
      <c r="B44" s="9" t="s">
        <v>427</v>
      </c>
      <c r="C44" s="684"/>
      <c r="D44" s="130"/>
      <c r="E44" s="684"/>
      <c r="F44" s="130"/>
      <c r="G44" s="624"/>
      <c r="H44" s="130"/>
      <c r="I44" s="303"/>
    </row>
    <row r="45" spans="1:9" ht="15.95" thickBot="1">
      <c r="A45" s="319" t="s">
        <v>428</v>
      </c>
      <c r="B45" s="31"/>
      <c r="C45" s="137">
        <f>SUM(C4:C44)</f>
        <v>113751.14</v>
      </c>
      <c r="D45" s="137">
        <f>SUM(D4:D44)</f>
        <v>0</v>
      </c>
      <c r="E45" s="137">
        <f>SUM(E4:E44)</f>
        <v>114020.55</v>
      </c>
      <c r="F45" s="137">
        <f>SUM(F4:F44)</f>
        <v>102057.75</v>
      </c>
      <c r="G45" s="633">
        <v>110490</v>
      </c>
      <c r="H45" s="137">
        <f>SUM(H4:H44)</f>
        <v>139680</v>
      </c>
      <c r="I45" s="320">
        <f>SUM(I4:I44)</f>
        <v>143480</v>
      </c>
    </row>
    <row r="46" spans="1:9">
      <c r="A46" s="321" t="s">
        <v>429</v>
      </c>
      <c r="B46" s="21"/>
      <c r="C46" s="678"/>
      <c r="D46" s="121"/>
      <c r="E46" s="678"/>
      <c r="F46" s="121"/>
      <c r="G46" s="634"/>
      <c r="H46" s="121"/>
      <c r="I46" s="322"/>
    </row>
    <row r="47" spans="1:9">
      <c r="A47" s="261" t="s">
        <v>191</v>
      </c>
      <c r="B47" s="20"/>
      <c r="C47" s="679"/>
      <c r="D47" s="122"/>
      <c r="E47" s="679"/>
      <c r="F47" s="122"/>
      <c r="G47" s="635"/>
      <c r="H47" s="122"/>
      <c r="I47" s="323"/>
    </row>
    <row r="48" spans="1:9">
      <c r="A48" s="324" t="s">
        <v>430</v>
      </c>
      <c r="B48" s="6" t="s">
        <v>431</v>
      </c>
      <c r="C48" s="89"/>
      <c r="D48" s="89"/>
      <c r="E48" s="89"/>
      <c r="F48" s="89"/>
      <c r="G48" s="624"/>
      <c r="H48" s="89"/>
      <c r="I48" s="303"/>
    </row>
    <row r="49" spans="1:9">
      <c r="A49" s="324" t="s">
        <v>379</v>
      </c>
      <c r="B49" s="6" t="s">
        <v>432</v>
      </c>
      <c r="C49" s="89">
        <v>300</v>
      </c>
      <c r="D49" s="89"/>
      <c r="E49" s="89">
        <v>300</v>
      </c>
      <c r="F49" s="89">
        <v>0</v>
      </c>
      <c r="G49" s="687">
        <v>0</v>
      </c>
      <c r="H49" s="89">
        <v>0</v>
      </c>
      <c r="I49" s="303">
        <v>0</v>
      </c>
    </row>
    <row r="50" spans="1:9">
      <c r="A50" s="324" t="s">
        <v>433</v>
      </c>
      <c r="B50" s="6" t="s">
        <v>434</v>
      </c>
      <c r="C50" s="89"/>
      <c r="D50" s="89"/>
      <c r="E50" s="89"/>
      <c r="F50" s="89"/>
      <c r="G50" s="624"/>
      <c r="H50" s="89"/>
      <c r="I50" s="303"/>
    </row>
    <row r="51" spans="1:9">
      <c r="A51" s="324" t="s">
        <v>435</v>
      </c>
      <c r="B51" s="6" t="s">
        <v>436</v>
      </c>
      <c r="C51" s="89"/>
      <c r="D51" s="89"/>
      <c r="E51" s="89"/>
      <c r="F51" s="89"/>
      <c r="G51" s="624"/>
      <c r="H51" s="89"/>
      <c r="I51" s="303"/>
    </row>
    <row r="52" spans="1:9">
      <c r="A52" s="324" t="s">
        <v>437</v>
      </c>
      <c r="B52" s="6" t="s">
        <v>438</v>
      </c>
      <c r="C52" s="89">
        <v>2500</v>
      </c>
      <c r="D52" s="89"/>
      <c r="E52" s="89">
        <v>2500</v>
      </c>
      <c r="F52" s="89">
        <v>2500</v>
      </c>
      <c r="G52" s="625">
        <v>2500</v>
      </c>
      <c r="H52" s="89">
        <v>2500</v>
      </c>
      <c r="I52" s="303">
        <v>5000</v>
      </c>
    </row>
    <row r="53" spans="1:9">
      <c r="A53" s="325" t="s">
        <v>404</v>
      </c>
      <c r="B53" s="7" t="s">
        <v>439</v>
      </c>
      <c r="C53" s="88"/>
      <c r="D53" s="88"/>
      <c r="E53" s="88"/>
      <c r="F53" s="88"/>
      <c r="G53" s="626"/>
      <c r="H53" s="88"/>
      <c r="I53" s="301"/>
    </row>
    <row r="54" spans="1:9">
      <c r="A54" s="324" t="s">
        <v>440</v>
      </c>
      <c r="B54" s="6" t="s">
        <v>441</v>
      </c>
      <c r="C54" s="88">
        <v>6500</v>
      </c>
      <c r="D54" s="89"/>
      <c r="E54" s="89">
        <v>2500</v>
      </c>
      <c r="F54" s="89">
        <v>2500</v>
      </c>
      <c r="G54" s="625">
        <v>2500</v>
      </c>
      <c r="H54" s="89">
        <v>2500</v>
      </c>
      <c r="I54" s="303">
        <v>3000</v>
      </c>
    </row>
    <row r="55" spans="1:9">
      <c r="A55" s="324" t="s">
        <v>442</v>
      </c>
      <c r="B55" s="6" t="s">
        <v>443</v>
      </c>
      <c r="C55" s="89"/>
      <c r="D55" s="89"/>
      <c r="E55" s="89"/>
      <c r="F55" s="89"/>
      <c r="G55" s="624"/>
      <c r="H55" s="89"/>
      <c r="I55" s="303"/>
    </row>
    <row r="56" spans="1:9">
      <c r="A56" s="324" t="s">
        <v>444</v>
      </c>
      <c r="B56" s="6" t="s">
        <v>445</v>
      </c>
      <c r="C56" s="89">
        <v>1500</v>
      </c>
      <c r="D56" s="89"/>
      <c r="E56" s="89">
        <v>1500</v>
      </c>
      <c r="F56" s="89">
        <v>1500</v>
      </c>
      <c r="G56" s="625">
        <v>1500</v>
      </c>
      <c r="H56" s="89">
        <v>1500</v>
      </c>
      <c r="I56" s="303">
        <v>3000</v>
      </c>
    </row>
    <row r="57" spans="1:9">
      <c r="A57" s="324" t="s">
        <v>446</v>
      </c>
      <c r="B57" s="6" t="s">
        <v>447</v>
      </c>
      <c r="C57" s="88">
        <v>5000</v>
      </c>
      <c r="D57" s="89"/>
      <c r="E57" s="89">
        <v>2000</v>
      </c>
      <c r="F57" s="89">
        <v>2000</v>
      </c>
      <c r="G57" s="625">
        <v>2000</v>
      </c>
      <c r="H57" s="89">
        <v>2000</v>
      </c>
      <c r="I57" s="303">
        <v>3000</v>
      </c>
    </row>
    <row r="58" spans="1:9">
      <c r="A58" s="324" t="s">
        <v>448</v>
      </c>
      <c r="B58" s="6" t="s">
        <v>449</v>
      </c>
      <c r="C58" s="89"/>
      <c r="D58" s="89"/>
      <c r="E58" s="89"/>
      <c r="F58" s="89"/>
      <c r="G58" s="624"/>
      <c r="H58" s="89"/>
      <c r="I58" s="303"/>
    </row>
    <row r="59" spans="1:9">
      <c r="A59" s="324" t="s">
        <v>450</v>
      </c>
      <c r="B59" s="6" t="s">
        <v>451</v>
      </c>
      <c r="C59" s="89"/>
      <c r="D59" s="89"/>
      <c r="E59" s="89"/>
      <c r="F59" s="89"/>
      <c r="G59" s="624"/>
      <c r="H59" s="89"/>
      <c r="I59" s="303"/>
    </row>
    <row r="60" spans="1:9">
      <c r="A60" s="324" t="s">
        <v>452</v>
      </c>
      <c r="B60" s="6" t="s">
        <v>434</v>
      </c>
      <c r="C60" s="89"/>
      <c r="D60" s="89"/>
      <c r="E60" s="89"/>
      <c r="F60" s="89"/>
      <c r="G60" s="624"/>
      <c r="H60" s="89"/>
      <c r="I60" s="303"/>
    </row>
    <row r="61" spans="1:9">
      <c r="A61" s="654" t="s">
        <v>453</v>
      </c>
      <c r="B61" s="655" t="s">
        <v>454</v>
      </c>
      <c r="C61" s="120">
        <v>1000</v>
      </c>
      <c r="D61" s="120"/>
      <c r="E61" s="120">
        <v>1000</v>
      </c>
      <c r="F61" s="120">
        <v>1000</v>
      </c>
      <c r="G61" s="656">
        <v>5000</v>
      </c>
      <c r="H61" s="120">
        <v>5000</v>
      </c>
      <c r="I61" s="317">
        <v>10000</v>
      </c>
    </row>
    <row r="62" spans="1:9">
      <c r="A62" s="261" t="s">
        <v>455</v>
      </c>
      <c r="B62" s="20"/>
      <c r="C62" s="122"/>
      <c r="D62" s="122"/>
      <c r="E62" s="122"/>
      <c r="F62" s="122"/>
      <c r="G62" s="635"/>
      <c r="H62" s="122"/>
      <c r="I62" s="323"/>
    </row>
    <row r="63" spans="1:9">
      <c r="A63" s="324" t="s">
        <v>456</v>
      </c>
      <c r="B63" s="6" t="s">
        <v>457</v>
      </c>
      <c r="C63" s="88">
        <v>-40500</v>
      </c>
      <c r="D63" s="89"/>
      <c r="E63" s="89">
        <v>-40500</v>
      </c>
      <c r="F63" s="89">
        <v>-40500</v>
      </c>
      <c r="G63" s="624"/>
      <c r="H63" s="89"/>
      <c r="I63" s="303"/>
    </row>
    <row r="64" spans="1:9">
      <c r="A64" s="654" t="s">
        <v>458</v>
      </c>
      <c r="B64" s="655" t="s">
        <v>459</v>
      </c>
      <c r="C64" s="88">
        <f>38000+22000</f>
        <v>60000</v>
      </c>
      <c r="D64" s="120"/>
      <c r="E64" s="120">
        <f>16000+22000</f>
        <v>38000</v>
      </c>
      <c r="F64" s="120">
        <f>16000+22000</f>
        <v>38000</v>
      </c>
      <c r="G64" s="625">
        <v>12500</v>
      </c>
      <c r="H64" s="89">
        <v>12500</v>
      </c>
      <c r="I64" s="303">
        <v>25000</v>
      </c>
    </row>
    <row r="65" spans="1:9">
      <c r="A65" s="324" t="s">
        <v>460</v>
      </c>
      <c r="B65" s="6" t="s">
        <v>459</v>
      </c>
      <c r="C65" s="88">
        <v>5500</v>
      </c>
      <c r="D65" s="89"/>
      <c r="E65" s="89">
        <v>5500</v>
      </c>
      <c r="F65" s="89">
        <v>5500</v>
      </c>
      <c r="G65" s="624"/>
      <c r="H65" s="89"/>
      <c r="I65" s="303"/>
    </row>
    <row r="66" spans="1:9">
      <c r="A66" s="324" t="s">
        <v>461</v>
      </c>
      <c r="B66" s="6" t="s">
        <v>462</v>
      </c>
      <c r="C66" s="89"/>
      <c r="D66" s="89"/>
      <c r="E66" s="89"/>
      <c r="F66" s="89"/>
      <c r="G66" s="624"/>
      <c r="H66" s="89"/>
      <c r="I66" s="303">
        <v>0</v>
      </c>
    </row>
    <row r="67" spans="1:9">
      <c r="A67" s="307" t="s">
        <v>463</v>
      </c>
      <c r="B67" s="17"/>
      <c r="C67" s="117"/>
      <c r="D67" s="117"/>
      <c r="E67" s="117"/>
      <c r="F67" s="117"/>
      <c r="G67" s="623"/>
      <c r="H67" s="117"/>
      <c r="I67" s="299" t="s">
        <v>130</v>
      </c>
    </row>
    <row r="68" spans="1:9">
      <c r="A68" s="300" t="s">
        <v>362</v>
      </c>
      <c r="B68" s="9" t="s">
        <v>464</v>
      </c>
      <c r="C68" s="88"/>
      <c r="D68" s="89"/>
      <c r="E68" s="89">
        <v>0</v>
      </c>
      <c r="F68" s="89">
        <v>0</v>
      </c>
      <c r="G68" s="624" t="s">
        <v>177</v>
      </c>
      <c r="H68" s="89">
        <v>0</v>
      </c>
      <c r="I68" s="303">
        <v>2525.25</v>
      </c>
    </row>
    <row r="69" spans="1:9">
      <c r="A69" s="300" t="s">
        <v>465</v>
      </c>
      <c r="B69" s="9" t="s">
        <v>466</v>
      </c>
      <c r="C69" s="88"/>
      <c r="D69" s="89"/>
      <c r="E69" s="89"/>
      <c r="F69" s="89"/>
      <c r="G69" s="624"/>
      <c r="H69" s="89"/>
      <c r="I69" s="303"/>
    </row>
    <row r="70" spans="1:9">
      <c r="A70" s="307" t="s">
        <v>467</v>
      </c>
      <c r="B70" s="17"/>
      <c r="C70" s="117"/>
      <c r="D70" s="117"/>
      <c r="E70" s="117"/>
      <c r="F70" s="117"/>
      <c r="G70" s="623"/>
      <c r="H70" s="117"/>
      <c r="I70" s="299"/>
    </row>
    <row r="71" spans="1:9">
      <c r="A71" s="300" t="s">
        <v>362</v>
      </c>
      <c r="B71" s="9" t="s">
        <v>468</v>
      </c>
      <c r="C71" s="88">
        <v>2964</v>
      </c>
      <c r="D71" s="89"/>
      <c r="E71" s="89">
        <v>2525.25</v>
      </c>
      <c r="F71" s="89">
        <v>0</v>
      </c>
      <c r="G71" s="625">
        <v>2525.25</v>
      </c>
      <c r="H71" s="89">
        <v>2525.25</v>
      </c>
      <c r="I71" s="303">
        <v>2525.25</v>
      </c>
    </row>
    <row r="72" spans="1:9">
      <c r="A72" s="300" t="s">
        <v>465</v>
      </c>
      <c r="B72" s="9" t="s">
        <v>469</v>
      </c>
      <c r="C72" s="88">
        <v>437.81</v>
      </c>
      <c r="D72" s="89"/>
      <c r="E72" s="89"/>
      <c r="F72" s="89"/>
      <c r="G72" s="625"/>
      <c r="H72" s="89"/>
      <c r="I72" s="303"/>
    </row>
    <row r="73" spans="1:9">
      <c r="A73" s="307" t="s">
        <v>470</v>
      </c>
      <c r="B73" s="17"/>
      <c r="C73" s="117"/>
      <c r="D73" s="117"/>
      <c r="E73" s="117"/>
      <c r="F73" s="117"/>
      <c r="G73" s="623"/>
      <c r="H73" s="117"/>
      <c r="I73" s="299"/>
    </row>
    <row r="74" spans="1:9">
      <c r="A74" s="300" t="s">
        <v>362</v>
      </c>
      <c r="B74" s="9" t="s">
        <v>471</v>
      </c>
      <c r="C74" s="88">
        <v>2964</v>
      </c>
      <c r="D74" s="89"/>
      <c r="E74" s="89">
        <v>2525.25</v>
      </c>
      <c r="F74" s="89">
        <v>0</v>
      </c>
      <c r="G74" s="625">
        <v>2525.25</v>
      </c>
      <c r="H74" s="89">
        <v>2525.25</v>
      </c>
      <c r="I74" s="303">
        <v>2525.25</v>
      </c>
    </row>
    <row r="75" spans="1:9">
      <c r="A75" s="300" t="s">
        <v>465</v>
      </c>
      <c r="B75" s="9" t="s">
        <v>472</v>
      </c>
      <c r="C75" s="88">
        <v>437.81</v>
      </c>
      <c r="D75" s="89"/>
      <c r="E75" s="89"/>
      <c r="F75" s="89"/>
      <c r="G75" s="625"/>
      <c r="H75" s="89"/>
      <c r="I75" s="303"/>
    </row>
    <row r="76" spans="1:9" hidden="1">
      <c r="A76" s="300" t="s">
        <v>473</v>
      </c>
      <c r="B76" s="9" t="s">
        <v>474</v>
      </c>
      <c r="D76" s="89"/>
      <c r="E76" s="89"/>
      <c r="F76" s="89"/>
      <c r="G76" s="624"/>
      <c r="H76" s="89"/>
      <c r="I76" s="303"/>
    </row>
    <row r="77" spans="1:9" hidden="1">
      <c r="A77" s="300" t="s">
        <v>475</v>
      </c>
      <c r="B77" s="9" t="s">
        <v>476</v>
      </c>
      <c r="C77" s="89"/>
      <c r="D77" s="89"/>
      <c r="E77" s="89"/>
      <c r="F77" s="89"/>
      <c r="G77" s="624"/>
      <c r="H77" s="89"/>
      <c r="I77" s="303"/>
    </row>
    <row r="78" spans="1:9" hidden="1">
      <c r="A78" s="300" t="s">
        <v>477</v>
      </c>
      <c r="B78" s="9" t="s">
        <v>478</v>
      </c>
      <c r="C78" s="89"/>
      <c r="D78" s="89"/>
      <c r="E78" s="89"/>
      <c r="F78" s="89"/>
      <c r="G78" s="624"/>
      <c r="H78" s="89"/>
      <c r="I78" s="303"/>
    </row>
    <row r="79" spans="1:9" hidden="1">
      <c r="A79" s="300" t="s">
        <v>479</v>
      </c>
      <c r="B79" s="9" t="s">
        <v>480</v>
      </c>
      <c r="C79" s="89"/>
      <c r="D79" s="89"/>
      <c r="E79" s="89"/>
      <c r="F79" s="89"/>
      <c r="G79" s="624"/>
      <c r="H79" s="89"/>
      <c r="I79" s="303"/>
    </row>
    <row r="80" spans="1:9">
      <c r="A80" s="307" t="s">
        <v>481</v>
      </c>
      <c r="B80" s="16"/>
      <c r="C80" s="118"/>
      <c r="D80" s="118"/>
      <c r="E80" s="118"/>
      <c r="F80" s="118"/>
      <c r="G80" s="627"/>
      <c r="H80" s="118"/>
      <c r="I80" s="304"/>
    </row>
    <row r="81" spans="1:9">
      <c r="A81" s="300" t="s">
        <v>362</v>
      </c>
      <c r="B81" s="11" t="s">
        <v>482</v>
      </c>
      <c r="C81" s="784"/>
      <c r="D81" s="123"/>
      <c r="E81" s="123">
        <v>0</v>
      </c>
      <c r="F81" s="123">
        <v>0</v>
      </c>
      <c r="G81" s="636" t="s">
        <v>177</v>
      </c>
      <c r="H81" s="123">
        <v>0</v>
      </c>
      <c r="I81" s="326">
        <v>2525.25</v>
      </c>
    </row>
    <row r="82" spans="1:9">
      <c r="A82" s="300" t="s">
        <v>483</v>
      </c>
      <c r="B82" s="11" t="s">
        <v>484</v>
      </c>
      <c r="C82" s="108"/>
      <c r="D82" s="123"/>
      <c r="E82" s="123"/>
      <c r="F82" s="123"/>
      <c r="G82" s="636"/>
      <c r="H82" s="123"/>
      <c r="I82" s="326"/>
    </row>
    <row r="83" spans="1:9">
      <c r="A83" s="307" t="s">
        <v>485</v>
      </c>
      <c r="B83" s="17"/>
      <c r="C83" s="117"/>
      <c r="D83" s="117"/>
      <c r="E83" s="117"/>
      <c r="F83" s="117"/>
      <c r="G83" s="623"/>
      <c r="H83" s="117"/>
      <c r="I83" s="299"/>
    </row>
    <row r="84" spans="1:9">
      <c r="A84" s="300" t="s">
        <v>362</v>
      </c>
      <c r="B84" s="9" t="s">
        <v>486</v>
      </c>
      <c r="C84" s="784">
        <v>2964</v>
      </c>
      <c r="D84" s="123"/>
      <c r="E84" s="687">
        <v>2525.25</v>
      </c>
      <c r="F84" s="89">
        <v>0</v>
      </c>
      <c r="G84" s="625">
        <v>2525.25</v>
      </c>
      <c r="H84" s="89">
        <v>2525.25</v>
      </c>
      <c r="I84" s="303">
        <v>2525.25</v>
      </c>
    </row>
    <row r="85" spans="1:9">
      <c r="A85" s="300" t="s">
        <v>483</v>
      </c>
      <c r="B85" s="9" t="s">
        <v>487</v>
      </c>
      <c r="C85" s="108">
        <v>437.81</v>
      </c>
      <c r="D85" s="123"/>
      <c r="E85" s="783"/>
      <c r="F85" s="89"/>
      <c r="G85" s="625"/>
      <c r="H85" s="89"/>
      <c r="I85" s="303"/>
    </row>
    <row r="86" spans="1:9">
      <c r="A86" s="307" t="s">
        <v>488</v>
      </c>
      <c r="B86" s="16"/>
      <c r="C86" s="118"/>
      <c r="D86" s="118"/>
      <c r="E86" s="118"/>
      <c r="F86" s="118"/>
      <c r="G86" s="627"/>
      <c r="H86" s="118"/>
      <c r="I86" s="304"/>
    </row>
    <row r="87" spans="1:9">
      <c r="A87" s="300" t="s">
        <v>362</v>
      </c>
      <c r="B87" s="11" t="s">
        <v>489</v>
      </c>
      <c r="C87" s="784"/>
      <c r="D87" s="89"/>
      <c r="E87" s="89">
        <v>0</v>
      </c>
      <c r="F87" s="89">
        <v>0</v>
      </c>
      <c r="G87" s="624" t="s">
        <v>177</v>
      </c>
      <c r="H87" s="89">
        <v>0</v>
      </c>
      <c r="I87" s="303"/>
    </row>
    <row r="88" spans="1:9">
      <c r="A88" s="300" t="s">
        <v>483</v>
      </c>
      <c r="B88" s="11" t="s">
        <v>490</v>
      </c>
      <c r="C88" s="108"/>
      <c r="D88" s="89"/>
      <c r="E88" s="89"/>
      <c r="F88" s="89"/>
      <c r="G88" s="624"/>
      <c r="H88" s="89"/>
      <c r="I88" s="303"/>
    </row>
    <row r="89" spans="1:9" hidden="1">
      <c r="A89" s="318" t="s">
        <v>491</v>
      </c>
      <c r="B89" s="16"/>
      <c r="C89" s="118"/>
      <c r="D89" s="118"/>
      <c r="E89" s="118"/>
      <c r="F89" s="118"/>
      <c r="G89" s="627"/>
      <c r="H89" s="118"/>
      <c r="I89" s="304"/>
    </row>
    <row r="90" spans="1:9" hidden="1">
      <c r="A90" s="300" t="s">
        <v>362</v>
      </c>
      <c r="B90" s="11"/>
      <c r="C90" s="88"/>
      <c r="D90" s="88"/>
      <c r="E90" s="88"/>
      <c r="F90" s="88"/>
      <c r="G90" s="626"/>
      <c r="H90" s="88"/>
      <c r="I90" s="301"/>
    </row>
    <row r="91" spans="1:9" hidden="1">
      <c r="A91" s="316" t="s">
        <v>492</v>
      </c>
      <c r="B91" s="92" t="s">
        <v>493</v>
      </c>
      <c r="C91" s="120"/>
      <c r="D91" s="120"/>
      <c r="E91" s="120"/>
      <c r="F91" s="120"/>
      <c r="G91" s="624"/>
      <c r="H91" s="120"/>
      <c r="I91" s="317"/>
    </row>
    <row r="92" spans="1:9" hidden="1">
      <c r="A92" s="316" t="s">
        <v>494</v>
      </c>
      <c r="B92" s="92" t="s">
        <v>495</v>
      </c>
      <c r="C92" s="120"/>
      <c r="D92" s="120"/>
      <c r="E92" s="120"/>
      <c r="F92" s="120"/>
      <c r="G92" s="624"/>
      <c r="H92" s="120"/>
      <c r="I92" s="317"/>
    </row>
    <row r="93" spans="1:9" hidden="1">
      <c r="A93" s="316" t="s">
        <v>496</v>
      </c>
      <c r="B93" s="92" t="s">
        <v>497</v>
      </c>
      <c r="C93" s="120"/>
      <c r="D93" s="120"/>
      <c r="E93" s="120"/>
      <c r="F93" s="120"/>
      <c r="G93" s="624"/>
      <c r="H93" s="120"/>
      <c r="I93" s="317"/>
    </row>
    <row r="94" spans="1:9" hidden="1">
      <c r="A94" s="327" t="s">
        <v>498</v>
      </c>
      <c r="B94" s="93" t="s">
        <v>499</v>
      </c>
      <c r="C94" s="124"/>
      <c r="D94" s="124"/>
      <c r="E94" s="124"/>
      <c r="F94" s="124"/>
      <c r="G94" s="629"/>
      <c r="H94" s="124"/>
      <c r="I94" s="328"/>
    </row>
    <row r="95" spans="1:9" ht="15.95" thickBot="1">
      <c r="A95" s="329" t="s">
        <v>500</v>
      </c>
      <c r="B95" s="14"/>
      <c r="C95" s="139">
        <f>SUM(C48:C94)</f>
        <v>52005.429999999993</v>
      </c>
      <c r="D95" s="139"/>
      <c r="E95" s="139">
        <f>SUM(E48:E94)</f>
        <v>20375.75</v>
      </c>
      <c r="F95" s="139">
        <f>SUM(F48:F94)</f>
        <v>12500</v>
      </c>
      <c r="G95" s="637">
        <v>33575.75</v>
      </c>
      <c r="H95" s="139">
        <f>SUM(H48:H94)</f>
        <v>33575.75</v>
      </c>
      <c r="I95" s="330">
        <f>SUM(I48:I94)</f>
        <v>61626.25</v>
      </c>
    </row>
    <row r="96" spans="1:9">
      <c r="A96" s="331" t="s">
        <v>29</v>
      </c>
      <c r="B96" s="20"/>
      <c r="C96" s="679"/>
      <c r="D96" s="122"/>
      <c r="E96" s="679"/>
      <c r="F96" s="122"/>
      <c r="G96" s="635"/>
      <c r="H96" s="122"/>
      <c r="I96" s="323"/>
    </row>
    <row r="97" spans="1:9">
      <c r="A97" s="324" t="s">
        <v>501</v>
      </c>
      <c r="B97" s="6" t="s">
        <v>502</v>
      </c>
      <c r="C97" s="785">
        <v>21320</v>
      </c>
      <c r="D97" s="89"/>
      <c r="E97" s="89">
        <v>28000</v>
      </c>
      <c r="F97" s="89">
        <v>28000</v>
      </c>
      <c r="G97" s="625">
        <v>28000</v>
      </c>
      <c r="H97" s="89">
        <v>28000</v>
      </c>
      <c r="I97" s="301">
        <v>46750</v>
      </c>
    </row>
    <row r="98" spans="1:9">
      <c r="A98" s="324" t="s">
        <v>483</v>
      </c>
      <c r="B98" s="6" t="s">
        <v>503</v>
      </c>
      <c r="C98" s="89">
        <v>2707.94</v>
      </c>
      <c r="D98" s="89"/>
      <c r="E98" s="89">
        <v>3740</v>
      </c>
      <c r="F98" s="89">
        <v>3740</v>
      </c>
      <c r="G98" s="625">
        <v>3740</v>
      </c>
      <c r="H98" s="89">
        <v>3740</v>
      </c>
      <c r="I98" s="303">
        <f>I97*0.08</f>
        <v>3740</v>
      </c>
    </row>
    <row r="99" spans="1:9">
      <c r="A99" s="324" t="s">
        <v>171</v>
      </c>
      <c r="B99" s="6" t="s">
        <v>504</v>
      </c>
      <c r="C99" s="89">
        <v>500</v>
      </c>
      <c r="D99" s="89"/>
      <c r="E99" s="89">
        <v>500</v>
      </c>
      <c r="F99" s="89">
        <v>500</v>
      </c>
      <c r="G99" s="625">
        <v>500</v>
      </c>
      <c r="H99" s="89">
        <v>500</v>
      </c>
      <c r="I99" s="303">
        <v>600</v>
      </c>
    </row>
    <row r="100" spans="1:9">
      <c r="A100" s="324" t="s">
        <v>374</v>
      </c>
      <c r="B100" s="6" t="s">
        <v>505</v>
      </c>
      <c r="C100" s="89">
        <v>25</v>
      </c>
      <c r="D100" s="89"/>
      <c r="E100" s="89">
        <v>25</v>
      </c>
      <c r="F100" s="89">
        <v>25</v>
      </c>
      <c r="G100" s="625">
        <v>25</v>
      </c>
      <c r="H100" s="89">
        <v>25</v>
      </c>
      <c r="I100" s="303">
        <v>50</v>
      </c>
    </row>
    <row r="101" spans="1:9">
      <c r="A101" s="324" t="s">
        <v>430</v>
      </c>
      <c r="B101" s="6" t="s">
        <v>506</v>
      </c>
      <c r="C101" s="89"/>
      <c r="D101" s="89"/>
      <c r="E101" s="89"/>
      <c r="F101" s="89"/>
      <c r="G101" s="624"/>
      <c r="H101" s="89"/>
      <c r="I101" s="303"/>
    </row>
    <row r="102" spans="1:9">
      <c r="A102" s="324" t="s">
        <v>379</v>
      </c>
      <c r="B102" s="6" t="s">
        <v>507</v>
      </c>
      <c r="C102" s="89"/>
      <c r="D102" s="89"/>
      <c r="E102" s="89"/>
      <c r="F102" s="89"/>
      <c r="G102" s="624"/>
      <c r="H102" s="89"/>
      <c r="I102" s="303"/>
    </row>
    <row r="103" spans="1:9">
      <c r="A103" s="324" t="s">
        <v>508</v>
      </c>
      <c r="B103" s="6" t="s">
        <v>509</v>
      </c>
      <c r="C103" s="89"/>
      <c r="D103" s="89"/>
      <c r="E103" s="89"/>
      <c r="F103" s="89"/>
      <c r="G103" s="624"/>
      <c r="H103" s="89"/>
      <c r="I103" s="303"/>
    </row>
    <row r="104" spans="1:9">
      <c r="A104" s="324" t="s">
        <v>260</v>
      </c>
      <c r="B104" s="6" t="s">
        <v>510</v>
      </c>
      <c r="C104" s="89"/>
      <c r="D104" s="89"/>
      <c r="E104" s="89"/>
      <c r="F104" s="89"/>
      <c r="G104" s="624"/>
      <c r="H104" s="89"/>
      <c r="I104" s="303"/>
    </row>
    <row r="105" spans="1:9">
      <c r="A105" s="324" t="s">
        <v>511</v>
      </c>
      <c r="B105" s="6" t="s">
        <v>512</v>
      </c>
      <c r="C105" s="88">
        <v>750</v>
      </c>
      <c r="D105" s="89"/>
      <c r="E105" s="89"/>
      <c r="F105" s="89"/>
      <c r="G105" s="624"/>
      <c r="H105" s="89"/>
      <c r="I105" s="303"/>
    </row>
    <row r="106" spans="1:9">
      <c r="A106" s="324" t="s">
        <v>184</v>
      </c>
      <c r="B106" s="6" t="s">
        <v>513</v>
      </c>
      <c r="C106" s="89"/>
      <c r="D106" s="89"/>
      <c r="E106" s="89"/>
      <c r="F106" s="89"/>
      <c r="G106" s="624"/>
      <c r="H106" s="89"/>
      <c r="I106" s="303"/>
    </row>
    <row r="107" spans="1:9">
      <c r="A107" s="324" t="s">
        <v>437</v>
      </c>
      <c r="B107" s="6" t="s">
        <v>514</v>
      </c>
      <c r="C107" s="89"/>
      <c r="D107" s="89"/>
      <c r="E107" s="89"/>
      <c r="F107" s="89"/>
      <c r="G107" s="624"/>
      <c r="H107" s="89"/>
      <c r="I107" s="303"/>
    </row>
    <row r="108" spans="1:9">
      <c r="A108" s="324" t="s">
        <v>404</v>
      </c>
      <c r="B108" s="6" t="s">
        <v>515</v>
      </c>
      <c r="C108" s="89"/>
      <c r="D108" s="89"/>
      <c r="E108" s="89"/>
      <c r="F108" s="89"/>
      <c r="G108" s="624"/>
      <c r="H108" s="89"/>
      <c r="I108" s="303"/>
    </row>
    <row r="109" spans="1:9">
      <c r="A109" s="335" t="s">
        <v>516</v>
      </c>
      <c r="B109" s="75" t="s">
        <v>517</v>
      </c>
      <c r="C109" s="786">
        <v>0</v>
      </c>
      <c r="D109" s="119"/>
      <c r="E109" s="119">
        <v>-33000</v>
      </c>
      <c r="F109" s="119">
        <v>-33000</v>
      </c>
      <c r="G109" s="624"/>
      <c r="H109" s="119"/>
      <c r="I109" s="309"/>
    </row>
    <row r="110" spans="1:9" ht="15.95" thickBot="1">
      <c r="A110" s="265" t="s">
        <v>518</v>
      </c>
      <c r="B110" s="25"/>
      <c r="C110" s="138">
        <f>SUM(C97:C109)</f>
        <v>25302.94</v>
      </c>
      <c r="D110" s="138"/>
      <c r="E110" s="138">
        <f>SUM(E97:E109)</f>
        <v>-735</v>
      </c>
      <c r="F110" s="138">
        <f>SUM(F97:F109)</f>
        <v>-735</v>
      </c>
      <c r="G110" s="638">
        <v>32265</v>
      </c>
      <c r="H110" s="138">
        <f>SUM(H97:H108)</f>
        <v>32265</v>
      </c>
      <c r="I110" s="332">
        <f>SUM(I97:I108)</f>
        <v>51140</v>
      </c>
    </row>
    <row r="111" spans="1:9">
      <c r="A111" s="333" t="s">
        <v>519</v>
      </c>
      <c r="B111" s="19"/>
      <c r="C111" s="681"/>
      <c r="D111" s="125"/>
      <c r="E111" s="681"/>
      <c r="F111" s="125"/>
      <c r="G111" s="639"/>
      <c r="H111" s="125"/>
      <c r="I111" s="334"/>
    </row>
    <row r="112" spans="1:9">
      <c r="A112" s="331" t="s">
        <v>520</v>
      </c>
      <c r="B112" s="20"/>
      <c r="C112" s="122">
        <v>12320</v>
      </c>
      <c r="D112" s="122"/>
      <c r="E112" s="122">
        <v>6960</v>
      </c>
      <c r="F112" s="122">
        <v>6960</v>
      </c>
      <c r="G112" s="635"/>
      <c r="H112" s="122"/>
      <c r="I112" s="323"/>
    </row>
    <row r="113" spans="1:11">
      <c r="A113" s="331" t="s">
        <v>521</v>
      </c>
      <c r="B113" s="20"/>
      <c r="C113" s="122">
        <f>C112*0.1477</f>
        <v>1819.664</v>
      </c>
      <c r="D113" s="122"/>
      <c r="E113" s="122">
        <f>E112*0.04</f>
        <v>278.40000000000003</v>
      </c>
      <c r="F113" s="122">
        <f>F112*0.04</f>
        <v>278.40000000000003</v>
      </c>
      <c r="G113" s="635"/>
      <c r="H113" s="122"/>
      <c r="I113" s="323"/>
    </row>
    <row r="114" spans="1:11">
      <c r="A114" s="331" t="s">
        <v>522</v>
      </c>
      <c r="B114" s="20"/>
      <c r="C114" s="122">
        <v>11020</v>
      </c>
      <c r="D114" s="122"/>
      <c r="E114" s="122">
        <v>8000</v>
      </c>
      <c r="F114" s="122">
        <v>8000</v>
      </c>
      <c r="G114" s="635"/>
      <c r="H114" s="122"/>
      <c r="I114" s="323"/>
    </row>
    <row r="115" spans="1:11">
      <c r="A115" s="331" t="s">
        <v>523</v>
      </c>
      <c r="B115" s="20"/>
      <c r="C115" s="122">
        <f>C114*0.147</f>
        <v>1619.9399999999998</v>
      </c>
      <c r="D115" s="122"/>
      <c r="E115" s="122">
        <f>E114*0.105</f>
        <v>840</v>
      </c>
      <c r="F115" s="122">
        <f>F114*0.105</f>
        <v>840</v>
      </c>
      <c r="G115" s="635"/>
      <c r="H115" s="122"/>
      <c r="I115" s="323"/>
    </row>
    <row r="116" spans="1:11">
      <c r="A116" s="331" t="s">
        <v>524</v>
      </c>
      <c r="B116" s="20"/>
      <c r="C116" s="122">
        <v>17250</v>
      </c>
      <c r="D116" s="122"/>
      <c r="E116" s="122">
        <v>17250</v>
      </c>
      <c r="F116" s="122">
        <v>17250</v>
      </c>
      <c r="G116" s="635"/>
      <c r="H116" s="122"/>
      <c r="I116" s="323"/>
    </row>
    <row r="117" spans="1:11">
      <c r="A117" s="331" t="s">
        <v>525</v>
      </c>
      <c r="B117" s="20"/>
      <c r="C117" s="122">
        <v>2548</v>
      </c>
      <c r="D117" s="122"/>
      <c r="E117" s="122">
        <f>E116*0.105</f>
        <v>1811.25</v>
      </c>
      <c r="F117" s="122">
        <f>F116*0.105</f>
        <v>1811.25</v>
      </c>
      <c r="G117" s="635"/>
      <c r="H117" s="122"/>
      <c r="I117" s="323"/>
    </row>
    <row r="118" spans="1:11">
      <c r="A118" s="674" t="s">
        <v>364</v>
      </c>
      <c r="B118" s="6" t="s">
        <v>526</v>
      </c>
      <c r="C118" s="89">
        <f>C112+C114+C116</f>
        <v>40590</v>
      </c>
      <c r="D118" s="89"/>
      <c r="E118" s="89">
        <f>E112+E114+E116</f>
        <v>32210</v>
      </c>
      <c r="F118" s="89">
        <f>F112+F114+F116</f>
        <v>32210</v>
      </c>
      <c r="G118" s="625">
        <v>51759.5</v>
      </c>
      <c r="H118" s="89">
        <v>32825</v>
      </c>
      <c r="I118" s="317">
        <v>30812</v>
      </c>
      <c r="K118" s="30"/>
    </row>
    <row r="119" spans="1:11">
      <c r="A119" s="324" t="s">
        <v>527</v>
      </c>
      <c r="B119" s="6" t="s">
        <v>528</v>
      </c>
      <c r="C119" s="89">
        <f>C117+C115+C113</f>
        <v>5987.6039999999994</v>
      </c>
      <c r="D119" s="89"/>
      <c r="E119" s="89">
        <f>E117+E115+E113</f>
        <v>2929.65</v>
      </c>
      <c r="F119" s="89">
        <f>F117+F115+F113</f>
        <v>2929.65</v>
      </c>
      <c r="G119" s="625">
        <v>4368.5</v>
      </c>
      <c r="H119" s="89">
        <v>1641.25</v>
      </c>
      <c r="I119" s="303">
        <f>I118*0.08</f>
        <v>2464.96</v>
      </c>
      <c r="K119" s="30"/>
    </row>
    <row r="120" spans="1:11">
      <c r="A120" s="324" t="s">
        <v>473</v>
      </c>
      <c r="B120" s="6" t="s">
        <v>529</v>
      </c>
      <c r="C120" s="89">
        <v>500</v>
      </c>
      <c r="D120" s="89"/>
      <c r="E120" s="89">
        <v>500</v>
      </c>
      <c r="F120" s="89">
        <v>500</v>
      </c>
      <c r="G120" s="625">
        <v>500</v>
      </c>
      <c r="H120" s="89">
        <v>500</v>
      </c>
      <c r="I120" s="303">
        <v>500</v>
      </c>
    </row>
    <row r="121" spans="1:11">
      <c r="A121" s="324" t="s">
        <v>171</v>
      </c>
      <c r="B121" s="6" t="s">
        <v>530</v>
      </c>
      <c r="C121" s="89">
        <v>500</v>
      </c>
      <c r="D121" s="89"/>
      <c r="E121" s="89">
        <v>500</v>
      </c>
      <c r="F121" s="89">
        <v>500</v>
      </c>
      <c r="G121" s="625">
        <v>500</v>
      </c>
      <c r="H121" s="89">
        <v>500</v>
      </c>
      <c r="I121" s="303">
        <v>500</v>
      </c>
      <c r="K121" s="30"/>
    </row>
    <row r="122" spans="1:11">
      <c r="A122" s="324" t="s">
        <v>374</v>
      </c>
      <c r="B122" s="6" t="s">
        <v>531</v>
      </c>
      <c r="C122" s="123"/>
      <c r="D122" s="123"/>
      <c r="E122" s="123"/>
      <c r="F122" s="123"/>
      <c r="G122" s="636"/>
      <c r="H122" s="123"/>
      <c r="I122" s="326"/>
      <c r="K122" s="30"/>
    </row>
    <row r="123" spans="1:11">
      <c r="A123" s="324" t="s">
        <v>430</v>
      </c>
      <c r="B123" s="6" t="s">
        <v>532</v>
      </c>
      <c r="C123" s="89"/>
      <c r="D123" s="89"/>
      <c r="E123" s="89"/>
      <c r="F123" s="89"/>
      <c r="G123" s="624"/>
      <c r="H123" s="89"/>
      <c r="I123" s="303"/>
    </row>
    <row r="124" spans="1:11">
      <c r="A124" s="324" t="s">
        <v>379</v>
      </c>
      <c r="B124" s="6" t="s">
        <v>533</v>
      </c>
      <c r="C124" s="89">
        <v>50</v>
      </c>
      <c r="D124" s="89"/>
      <c r="E124" s="89">
        <v>50</v>
      </c>
      <c r="F124" s="89">
        <v>50</v>
      </c>
      <c r="G124" s="625">
        <v>50</v>
      </c>
      <c r="H124" s="89">
        <v>50</v>
      </c>
      <c r="I124" s="303">
        <v>50</v>
      </c>
    </row>
    <row r="125" spans="1:11">
      <c r="A125" s="324" t="s">
        <v>260</v>
      </c>
      <c r="B125" s="6" t="s">
        <v>534</v>
      </c>
      <c r="C125" s="120">
        <v>5000</v>
      </c>
      <c r="D125" s="120"/>
      <c r="E125" s="120">
        <v>5000</v>
      </c>
      <c r="F125" s="120">
        <v>5000</v>
      </c>
      <c r="G125" s="625">
        <v>15000</v>
      </c>
      <c r="H125" s="89">
        <v>5000</v>
      </c>
      <c r="I125" s="303">
        <v>5000</v>
      </c>
    </row>
    <row r="126" spans="1:11">
      <c r="A126" s="324" t="s">
        <v>535</v>
      </c>
      <c r="B126" s="6" t="s">
        <v>536</v>
      </c>
      <c r="C126" s="89"/>
      <c r="D126" s="89"/>
      <c r="E126" s="89"/>
      <c r="F126" s="89"/>
      <c r="G126" s="624"/>
      <c r="H126" s="89"/>
      <c r="I126" s="303"/>
    </row>
    <row r="127" spans="1:11">
      <c r="A127" s="324" t="s">
        <v>537</v>
      </c>
      <c r="B127" s="6" t="s">
        <v>538</v>
      </c>
      <c r="C127" s="89">
        <v>250</v>
      </c>
      <c r="D127" s="89"/>
      <c r="E127" s="89">
        <v>250</v>
      </c>
      <c r="F127" s="89">
        <v>250</v>
      </c>
      <c r="G127" s="625">
        <v>250</v>
      </c>
      <c r="H127" s="89">
        <v>250</v>
      </c>
      <c r="I127" s="303">
        <v>400</v>
      </c>
    </row>
    <row r="128" spans="1:11">
      <c r="A128" s="324" t="s">
        <v>539</v>
      </c>
      <c r="B128" s="6" t="s">
        <v>540</v>
      </c>
      <c r="C128" s="88">
        <v>12000</v>
      </c>
      <c r="D128" s="89"/>
      <c r="E128" s="89">
        <v>12000</v>
      </c>
      <c r="F128" s="89">
        <v>12000</v>
      </c>
      <c r="G128" s="625">
        <v>12000</v>
      </c>
      <c r="H128" s="89">
        <v>7500</v>
      </c>
      <c r="I128" s="303">
        <v>7500</v>
      </c>
    </row>
    <row r="129" spans="1:9">
      <c r="A129" s="324" t="s">
        <v>541</v>
      </c>
      <c r="B129" s="6" t="s">
        <v>542</v>
      </c>
      <c r="C129" s="89">
        <v>1000</v>
      </c>
      <c r="D129" s="89"/>
      <c r="E129" s="89">
        <v>1000</v>
      </c>
      <c r="F129" s="89">
        <v>1000</v>
      </c>
      <c r="G129" s="625">
        <v>1000</v>
      </c>
      <c r="H129" s="89">
        <v>1000</v>
      </c>
      <c r="I129" s="303">
        <v>1000</v>
      </c>
    </row>
    <row r="130" spans="1:9">
      <c r="A130" s="324" t="s">
        <v>543</v>
      </c>
      <c r="B130" s="6" t="s">
        <v>544</v>
      </c>
      <c r="C130" s="89">
        <v>1000</v>
      </c>
      <c r="D130" s="89"/>
      <c r="E130" s="89">
        <v>1000</v>
      </c>
      <c r="F130" s="89">
        <v>1000</v>
      </c>
      <c r="G130" s="625">
        <v>1000</v>
      </c>
      <c r="H130" s="89">
        <v>0</v>
      </c>
      <c r="I130" s="303">
        <v>1000</v>
      </c>
    </row>
    <row r="131" spans="1:9">
      <c r="A131" s="324" t="s">
        <v>545</v>
      </c>
      <c r="B131" s="6" t="s">
        <v>546</v>
      </c>
      <c r="C131" s="89">
        <v>0</v>
      </c>
      <c r="D131" s="89"/>
      <c r="E131" s="89">
        <v>0</v>
      </c>
      <c r="F131" s="89">
        <v>0</v>
      </c>
      <c r="G131" s="624" t="s">
        <v>177</v>
      </c>
      <c r="H131" s="89">
        <v>0</v>
      </c>
      <c r="I131" s="303"/>
    </row>
    <row r="132" spans="1:9">
      <c r="A132" s="335" t="s">
        <v>547</v>
      </c>
      <c r="B132" s="75"/>
      <c r="C132" s="119">
        <v>0</v>
      </c>
      <c r="D132" s="119"/>
      <c r="E132" s="119">
        <v>0</v>
      </c>
      <c r="F132" s="119">
        <v>0</v>
      </c>
      <c r="G132" s="629" t="s">
        <v>177</v>
      </c>
      <c r="H132" s="119">
        <v>0</v>
      </c>
      <c r="I132" s="336">
        <v>6000</v>
      </c>
    </row>
    <row r="133" spans="1:9" ht="15.95" thickBot="1">
      <c r="A133" s="337" t="s">
        <v>548</v>
      </c>
      <c r="B133" s="25"/>
      <c r="C133" s="138">
        <f>SUM(C118:C132)</f>
        <v>66877.603999999992</v>
      </c>
      <c r="D133" s="138"/>
      <c r="E133" s="138">
        <f>SUM(E118:E132)</f>
        <v>55439.65</v>
      </c>
      <c r="F133" s="138">
        <f>SUM(F118:F132)</f>
        <v>55439.65</v>
      </c>
      <c r="G133" s="638">
        <v>86428</v>
      </c>
      <c r="H133" s="138">
        <f>SUM(H118:H132)</f>
        <v>49266.25</v>
      </c>
      <c r="I133" s="332">
        <f>SUM(I118:I132)</f>
        <v>55226.96</v>
      </c>
    </row>
    <row r="134" spans="1:9">
      <c r="A134" s="333" t="s">
        <v>549</v>
      </c>
      <c r="B134" s="19"/>
      <c r="C134" s="681"/>
      <c r="D134" s="125"/>
      <c r="E134" s="681"/>
      <c r="F134" s="125"/>
      <c r="G134" s="639"/>
      <c r="H134" s="125"/>
      <c r="I134" s="334"/>
    </row>
    <row r="135" spans="1:9">
      <c r="A135" s="674" t="s">
        <v>364</v>
      </c>
      <c r="B135" s="6" t="s">
        <v>526</v>
      </c>
      <c r="C135" s="89">
        <v>4560</v>
      </c>
      <c r="D135" s="89"/>
      <c r="E135" s="89">
        <v>4440</v>
      </c>
      <c r="F135" s="89">
        <v>1360</v>
      </c>
      <c r="G135" s="625">
        <v>1360</v>
      </c>
      <c r="H135" s="89">
        <v>1360</v>
      </c>
      <c r="I135" s="303">
        <v>4400</v>
      </c>
    </row>
    <row r="136" spans="1:9">
      <c r="A136" s="324" t="s">
        <v>527</v>
      </c>
      <c r="B136" s="6" t="s">
        <v>528</v>
      </c>
      <c r="C136" s="89">
        <v>673.56</v>
      </c>
      <c r="D136" s="89"/>
      <c r="E136" s="89">
        <v>623.98</v>
      </c>
      <c r="F136" s="89">
        <v>114.78</v>
      </c>
      <c r="G136" s="625">
        <v>114.78</v>
      </c>
      <c r="H136" s="89">
        <v>68</v>
      </c>
      <c r="I136" s="303">
        <f>I135*0.08</f>
        <v>352</v>
      </c>
    </row>
    <row r="137" spans="1:9">
      <c r="A137" s="324" t="s">
        <v>473</v>
      </c>
      <c r="B137" s="6" t="s">
        <v>529</v>
      </c>
      <c r="D137" s="123"/>
      <c r="F137" s="123"/>
      <c r="G137" s="636"/>
      <c r="H137" s="123"/>
      <c r="I137" s="202"/>
    </row>
    <row r="138" spans="1:9">
      <c r="A138" s="324" t="s">
        <v>374</v>
      </c>
      <c r="B138" s="6" t="s">
        <v>531</v>
      </c>
      <c r="C138" s="89"/>
      <c r="D138" s="89"/>
      <c r="E138" s="89"/>
      <c r="F138" s="89"/>
      <c r="G138" s="624"/>
      <c r="H138" s="89"/>
      <c r="I138" s="303"/>
    </row>
    <row r="139" spans="1:9">
      <c r="A139" s="324" t="s">
        <v>430</v>
      </c>
      <c r="B139" s="6" t="s">
        <v>532</v>
      </c>
      <c r="C139" s="89"/>
      <c r="D139" s="89"/>
      <c r="E139" s="89"/>
      <c r="F139" s="89"/>
      <c r="G139" s="624"/>
      <c r="H139" s="89"/>
      <c r="I139" s="303"/>
    </row>
    <row r="140" spans="1:9">
      <c r="A140" s="324" t="s">
        <v>379</v>
      </c>
      <c r="B140" s="6" t="s">
        <v>533</v>
      </c>
      <c r="C140" s="123"/>
      <c r="D140" s="123"/>
      <c r="E140" s="123"/>
      <c r="F140" s="89"/>
      <c r="G140" s="624"/>
      <c r="H140" s="89"/>
      <c r="I140" s="303"/>
    </row>
    <row r="141" spans="1:9">
      <c r="A141" s="324" t="s">
        <v>260</v>
      </c>
      <c r="B141" s="6" t="s">
        <v>534</v>
      </c>
      <c r="C141" s="89">
        <v>1500</v>
      </c>
      <c r="D141" s="89"/>
      <c r="E141" s="89">
        <v>1500</v>
      </c>
      <c r="F141" s="89">
        <v>1500</v>
      </c>
      <c r="G141" s="625">
        <v>1500</v>
      </c>
      <c r="H141" s="89">
        <v>1500</v>
      </c>
      <c r="I141" s="303">
        <v>3500</v>
      </c>
    </row>
    <row r="142" spans="1:9">
      <c r="A142" s="324" t="s">
        <v>535</v>
      </c>
      <c r="B142" s="6" t="s">
        <v>536</v>
      </c>
      <c r="C142" s="680"/>
      <c r="D142" s="89"/>
      <c r="E142" s="680"/>
      <c r="F142" s="89"/>
      <c r="G142" s="624"/>
      <c r="H142" s="89"/>
      <c r="I142" s="303"/>
    </row>
    <row r="143" spans="1:9">
      <c r="A143" s="324" t="s">
        <v>390</v>
      </c>
      <c r="B143" s="6" t="s">
        <v>538</v>
      </c>
      <c r="C143" s="680"/>
      <c r="D143" s="89"/>
      <c r="E143" s="680"/>
      <c r="F143" s="89"/>
      <c r="G143" s="624"/>
      <c r="H143" s="89"/>
      <c r="I143" s="303"/>
    </row>
    <row r="144" spans="1:9" ht="15.95" thickBot="1">
      <c r="A144" s="338" t="s">
        <v>550</v>
      </c>
      <c r="B144" s="24"/>
      <c r="C144" s="126">
        <f>SUM(C135:C143)</f>
        <v>6733.5599999999995</v>
      </c>
      <c r="D144" s="126"/>
      <c r="E144" s="126">
        <f>SUM(E135:E143)</f>
        <v>6563.98</v>
      </c>
      <c r="F144" s="126">
        <f>SUM(F135:F143)</f>
        <v>2974.7799999999997</v>
      </c>
      <c r="G144" s="640">
        <v>2974.78</v>
      </c>
      <c r="H144" s="126">
        <f>SUM(H135:H143)</f>
        <v>2928</v>
      </c>
      <c r="I144" s="339">
        <f>SUM(I135:I143)</f>
        <v>8252</v>
      </c>
    </row>
    <row r="145" spans="1:9">
      <c r="A145" s="340" t="s">
        <v>428</v>
      </c>
      <c r="B145" s="15"/>
      <c r="C145" s="127">
        <f>SUM(C45)</f>
        <v>113751.14</v>
      </c>
      <c r="D145" s="127"/>
      <c r="E145" s="127">
        <f>SUM(E45)</f>
        <v>114020.55</v>
      </c>
      <c r="F145" s="127">
        <f>SUM(F45)</f>
        <v>102057.75</v>
      </c>
      <c r="G145" s="641">
        <v>110490</v>
      </c>
      <c r="H145" s="127">
        <f>SUM(H45)</f>
        <v>139680</v>
      </c>
      <c r="I145" s="341">
        <f>I45</f>
        <v>143480</v>
      </c>
    </row>
    <row r="146" spans="1:9">
      <c r="A146" s="342" t="s">
        <v>500</v>
      </c>
      <c r="B146" s="12"/>
      <c r="C146" s="140">
        <f>SUM(C95)</f>
        <v>52005.429999999993</v>
      </c>
      <c r="D146" s="140"/>
      <c r="E146" s="140">
        <f>SUM(E95)</f>
        <v>20375.75</v>
      </c>
      <c r="F146" s="140">
        <f>SUM(F95)</f>
        <v>12500</v>
      </c>
      <c r="G146" s="642">
        <v>33575.75</v>
      </c>
      <c r="H146" s="140">
        <f>SUM(I95)</f>
        <v>61626.25</v>
      </c>
      <c r="I146" s="343">
        <f t="shared" ref="I146" si="0">I95</f>
        <v>61626.25</v>
      </c>
    </row>
    <row r="147" spans="1:9">
      <c r="A147" s="342" t="s">
        <v>518</v>
      </c>
      <c r="B147" s="12"/>
      <c r="C147" s="140">
        <f>SUM(C110)</f>
        <v>25302.94</v>
      </c>
      <c r="D147" s="140"/>
      <c r="E147" s="140">
        <f>SUM(E110)</f>
        <v>-735</v>
      </c>
      <c r="F147" s="140">
        <f>SUM(F110)</f>
        <v>-735</v>
      </c>
      <c r="G147" s="642">
        <v>32265</v>
      </c>
      <c r="H147" s="140">
        <f>SUM(H110)</f>
        <v>32265</v>
      </c>
      <c r="I147" s="343">
        <f t="shared" ref="I147" si="1">I110</f>
        <v>51140</v>
      </c>
    </row>
    <row r="148" spans="1:9">
      <c r="A148" s="344" t="s">
        <v>551</v>
      </c>
      <c r="B148" s="12"/>
      <c r="C148" s="140">
        <f>SUM(C144,C133)</f>
        <v>73611.16399999999</v>
      </c>
      <c r="D148" s="140"/>
      <c r="E148" s="140">
        <f>SUM(E144,E133)</f>
        <v>62003.630000000005</v>
      </c>
      <c r="F148" s="140">
        <f>SUM(F144,F133)</f>
        <v>58414.43</v>
      </c>
      <c r="G148" s="642">
        <v>89402.78</v>
      </c>
      <c r="H148" s="140">
        <f>SUM(H144,H133)</f>
        <v>52194.25</v>
      </c>
      <c r="I148" s="343">
        <f>I133+I144</f>
        <v>63478.96</v>
      </c>
    </row>
    <row r="149" spans="1:9" ht="15.95" thickBot="1">
      <c r="A149" s="345" t="s">
        <v>552</v>
      </c>
      <c r="B149" s="346"/>
      <c r="C149" s="347">
        <f>SUM(C145:C148)</f>
        <v>264670.674</v>
      </c>
      <c r="D149" s="347"/>
      <c r="E149" s="347">
        <f>SUM(E145:E148)</f>
        <v>195664.93</v>
      </c>
      <c r="F149" s="347">
        <f>SUM(F145:F148)</f>
        <v>172237.18</v>
      </c>
      <c r="G149" s="643">
        <v>265733.53000000003</v>
      </c>
      <c r="H149" s="347">
        <f>SUM(H145:H148)</f>
        <v>285765.5</v>
      </c>
      <c r="I149" s="348">
        <f>SUM(I145:I148)</f>
        <v>319725.21000000002</v>
      </c>
    </row>
    <row r="150" spans="1:9">
      <c r="G150" s="798"/>
    </row>
    <row r="151" spans="1:9">
      <c r="G151" s="797"/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0"/>
  <sheetViews>
    <sheetView topLeftCell="A155" zoomScale="115" zoomScaleNormal="115" workbookViewId="0">
      <pane xSplit="2" topLeftCell="C1" activePane="topRight" state="frozen"/>
      <selection pane="topRight" activeCell="C272" sqref="C272"/>
      <selection activeCell="A250" sqref="A250"/>
    </sheetView>
  </sheetViews>
  <sheetFormatPr defaultColWidth="8.85546875" defaultRowHeight="12.75" customHeight="1"/>
  <cols>
    <col min="1" max="1" width="45.140625" customWidth="1"/>
    <col min="2" max="2" width="18.85546875" style="379" customWidth="1"/>
    <col min="3" max="4" width="18.85546875" style="380" customWidth="1"/>
    <col min="5" max="5" width="18.85546875" style="379" customWidth="1"/>
    <col min="6" max="7" width="18.85546875" style="380" customWidth="1"/>
    <col min="8" max="9" width="18.85546875" style="379" customWidth="1"/>
  </cols>
  <sheetData>
    <row r="1" spans="1:9" ht="32.1">
      <c r="A1" s="717" t="s">
        <v>149</v>
      </c>
      <c r="B1" s="718" t="s">
        <v>150</v>
      </c>
      <c r="C1" s="719" t="s">
        <v>3</v>
      </c>
      <c r="D1" s="719" t="s">
        <v>4</v>
      </c>
      <c r="E1" s="697" t="s">
        <v>5</v>
      </c>
      <c r="F1" s="719" t="s">
        <v>7</v>
      </c>
      <c r="G1" s="719" t="s">
        <v>553</v>
      </c>
      <c r="H1" s="718" t="s">
        <v>554</v>
      </c>
      <c r="I1" s="720" t="s">
        <v>14</v>
      </c>
    </row>
    <row r="2" spans="1:9" ht="15">
      <c r="A2" s="434" t="s">
        <v>555</v>
      </c>
      <c r="B2" s="435" t="s">
        <v>556</v>
      </c>
      <c r="C2" s="436"/>
      <c r="D2" s="436"/>
      <c r="E2" s="435"/>
      <c r="F2" s="436"/>
      <c r="G2" s="436"/>
      <c r="H2" s="435"/>
      <c r="I2" s="437"/>
    </row>
    <row r="3" spans="1:9" ht="15">
      <c r="A3" s="349" t="s">
        <v>157</v>
      </c>
      <c r="B3" s="358"/>
      <c r="C3" s="359"/>
      <c r="D3" s="359"/>
      <c r="E3" s="358"/>
      <c r="F3" s="359"/>
      <c r="G3" s="359"/>
      <c r="H3" s="358"/>
      <c r="I3" s="387"/>
    </row>
    <row r="4" spans="1:9" ht="15">
      <c r="A4" s="388" t="s">
        <v>557</v>
      </c>
      <c r="B4" s="160" t="s">
        <v>558</v>
      </c>
      <c r="C4" s="285">
        <v>149427</v>
      </c>
      <c r="D4" s="285">
        <v>167840</v>
      </c>
      <c r="E4" s="285">
        <v>167840</v>
      </c>
      <c r="F4" s="285">
        <v>145769</v>
      </c>
      <c r="G4" s="285">
        <v>96900</v>
      </c>
      <c r="H4" s="357">
        <v>96900</v>
      </c>
      <c r="I4" s="198">
        <v>75690.490000000005</v>
      </c>
    </row>
    <row r="5" spans="1:9" ht="15">
      <c r="A5" s="388" t="s">
        <v>559</v>
      </c>
      <c r="B5" s="160" t="s">
        <v>560</v>
      </c>
      <c r="C5" s="285">
        <v>23233</v>
      </c>
      <c r="D5" s="285">
        <v>0</v>
      </c>
      <c r="E5" s="285">
        <v>0</v>
      </c>
      <c r="F5" s="285">
        <v>0</v>
      </c>
      <c r="G5" s="285">
        <v>21294</v>
      </c>
      <c r="H5" s="357"/>
      <c r="I5" s="198"/>
    </row>
    <row r="6" spans="1:9" ht="15">
      <c r="A6" s="388" t="s">
        <v>527</v>
      </c>
      <c r="B6" s="160" t="s">
        <v>561</v>
      </c>
      <c r="C6" s="285">
        <v>50389</v>
      </c>
      <c r="D6" s="285">
        <v>51681</v>
      </c>
      <c r="E6" s="285">
        <v>51681</v>
      </c>
      <c r="F6" s="285">
        <v>48184</v>
      </c>
      <c r="G6" s="285">
        <v>26648</v>
      </c>
      <c r="H6" s="357">
        <v>26648</v>
      </c>
      <c r="I6" s="198">
        <v>24057</v>
      </c>
    </row>
    <row r="7" spans="1:9" ht="15">
      <c r="A7" s="388" t="s">
        <v>562</v>
      </c>
      <c r="B7" s="160" t="s">
        <v>563</v>
      </c>
      <c r="C7" s="285"/>
      <c r="D7" s="285">
        <v>0</v>
      </c>
      <c r="E7" s="285">
        <v>0</v>
      </c>
      <c r="F7" s="285">
        <v>0</v>
      </c>
      <c r="G7" s="285">
        <v>1000</v>
      </c>
      <c r="H7" s="357">
        <v>1000</v>
      </c>
      <c r="I7" s="198">
        <v>996</v>
      </c>
    </row>
    <row r="8" spans="1:9" ht="15">
      <c r="A8" s="349" t="s">
        <v>564</v>
      </c>
      <c r="B8" s="358"/>
      <c r="C8" s="359"/>
      <c r="D8" s="359"/>
      <c r="E8" s="359"/>
      <c r="F8" s="359"/>
      <c r="G8" s="359"/>
      <c r="H8" s="360"/>
      <c r="I8" s="389"/>
    </row>
    <row r="9" spans="1:9" ht="15">
      <c r="A9" s="388" t="s">
        <v>166</v>
      </c>
      <c r="B9" s="160" t="s">
        <v>565</v>
      </c>
      <c r="C9" s="285">
        <v>1800</v>
      </c>
      <c r="D9" s="285">
        <v>4055</v>
      </c>
      <c r="E9" s="285">
        <v>4055</v>
      </c>
      <c r="F9" s="285">
        <v>4055</v>
      </c>
      <c r="G9" s="285">
        <v>3400</v>
      </c>
      <c r="H9" s="357">
        <v>3400</v>
      </c>
      <c r="I9" s="198">
        <v>750</v>
      </c>
    </row>
    <row r="10" spans="1:9" ht="15">
      <c r="A10" s="388" t="s">
        <v>566</v>
      </c>
      <c r="B10" s="160" t="s">
        <v>567</v>
      </c>
      <c r="C10" s="285">
        <v>3400</v>
      </c>
      <c r="D10" s="285">
        <v>3506</v>
      </c>
      <c r="E10" s="285">
        <v>3506</v>
      </c>
      <c r="F10" s="285">
        <v>3506</v>
      </c>
      <c r="G10" s="285">
        <v>2000</v>
      </c>
      <c r="H10" s="357">
        <v>2000</v>
      </c>
      <c r="I10" s="198">
        <v>996</v>
      </c>
    </row>
    <row r="11" spans="1:9" ht="15">
      <c r="A11" s="388" t="s">
        <v>568</v>
      </c>
      <c r="B11" s="160" t="s">
        <v>569</v>
      </c>
      <c r="C11" s="285">
        <v>585</v>
      </c>
      <c r="D11" s="285"/>
      <c r="E11" s="285"/>
      <c r="F11" s="285"/>
      <c r="G11" s="285"/>
      <c r="H11" s="357"/>
      <c r="I11" s="198"/>
    </row>
    <row r="12" spans="1:9" ht="15">
      <c r="A12" s="349" t="s">
        <v>170</v>
      </c>
      <c r="B12" s="358"/>
      <c r="C12" s="359"/>
      <c r="D12" s="359"/>
      <c r="E12" s="359"/>
      <c r="F12" s="359"/>
      <c r="G12" s="359"/>
      <c r="H12" s="360"/>
      <c r="I12" s="389"/>
    </row>
    <row r="13" spans="1:9" ht="15">
      <c r="A13" s="388" t="s">
        <v>570</v>
      </c>
      <c r="B13" s="160" t="s">
        <v>571</v>
      </c>
      <c r="C13" s="285">
        <v>2112</v>
      </c>
      <c r="D13" s="285">
        <v>1800</v>
      </c>
      <c r="E13" s="285">
        <v>1800</v>
      </c>
      <c r="F13" s="285">
        <v>1800</v>
      </c>
      <c r="G13" s="285">
        <v>1320</v>
      </c>
      <c r="H13" s="357">
        <v>600</v>
      </c>
      <c r="I13" s="198">
        <v>500</v>
      </c>
    </row>
    <row r="14" spans="1:9" ht="15">
      <c r="A14" s="388" t="s">
        <v>173</v>
      </c>
      <c r="B14" s="160" t="s">
        <v>572</v>
      </c>
      <c r="C14" s="285">
        <v>520</v>
      </c>
      <c r="D14" s="285"/>
      <c r="E14" s="285"/>
      <c r="F14" s="285"/>
      <c r="G14" s="285">
        <v>150</v>
      </c>
      <c r="H14" s="357">
        <v>150</v>
      </c>
      <c r="I14" s="198">
        <v>120</v>
      </c>
    </row>
    <row r="15" spans="1:9" ht="15">
      <c r="A15" s="388" t="s">
        <v>573</v>
      </c>
      <c r="B15" s="160" t="s">
        <v>574</v>
      </c>
      <c r="C15" s="285">
        <v>360</v>
      </c>
      <c r="D15" s="285"/>
      <c r="E15" s="285"/>
      <c r="F15" s="285"/>
      <c r="G15" s="285"/>
      <c r="H15" s="357"/>
      <c r="I15" s="198"/>
    </row>
    <row r="16" spans="1:9" ht="15">
      <c r="A16" s="388" t="s">
        <v>575</v>
      </c>
      <c r="B16" s="160" t="s">
        <v>576</v>
      </c>
      <c r="C16" s="285">
        <v>2000</v>
      </c>
      <c r="D16" s="285"/>
      <c r="E16" s="285"/>
      <c r="F16" s="285"/>
      <c r="G16" s="285"/>
      <c r="H16" s="357"/>
      <c r="I16" s="198"/>
    </row>
    <row r="17" spans="1:9" ht="15">
      <c r="A17" s="388" t="s">
        <v>179</v>
      </c>
      <c r="B17" s="160" t="s">
        <v>577</v>
      </c>
      <c r="C17" s="285">
        <v>0</v>
      </c>
      <c r="D17" s="285">
        <v>240</v>
      </c>
      <c r="E17" s="285">
        <v>240</v>
      </c>
      <c r="F17" s="285">
        <v>240</v>
      </c>
      <c r="G17" s="285">
        <v>240</v>
      </c>
      <c r="H17" s="357">
        <v>240</v>
      </c>
      <c r="I17" s="198">
        <v>60</v>
      </c>
    </row>
    <row r="18" spans="1:9" ht="15">
      <c r="A18" s="349" t="s">
        <v>181</v>
      </c>
      <c r="B18" s="358"/>
      <c r="C18" s="359"/>
      <c r="D18" s="359"/>
      <c r="E18" s="359"/>
      <c r="F18" s="359"/>
      <c r="G18" s="359"/>
      <c r="H18" s="360"/>
      <c r="I18" s="389"/>
    </row>
    <row r="19" spans="1:9" ht="15">
      <c r="A19" s="388" t="s">
        <v>182</v>
      </c>
      <c r="B19" s="160" t="s">
        <v>578</v>
      </c>
      <c r="C19" s="285">
        <v>400</v>
      </c>
      <c r="D19" s="285">
        <v>1900</v>
      </c>
      <c r="E19" s="285">
        <v>1900</v>
      </c>
      <c r="F19" s="285">
        <v>1900</v>
      </c>
      <c r="G19" s="285">
        <v>1600</v>
      </c>
      <c r="H19" s="357">
        <v>1600</v>
      </c>
      <c r="I19" s="198"/>
    </row>
    <row r="20" spans="1:9" ht="15">
      <c r="A20" s="388" t="s">
        <v>401</v>
      </c>
      <c r="B20" s="160" t="s">
        <v>579</v>
      </c>
      <c r="C20" s="285">
        <v>1311</v>
      </c>
      <c r="D20" s="285">
        <v>1100</v>
      </c>
      <c r="E20" s="285">
        <v>1100</v>
      </c>
      <c r="F20" s="285">
        <v>1100</v>
      </c>
      <c r="G20" s="285"/>
      <c r="H20" s="357"/>
      <c r="I20" s="198"/>
    </row>
    <row r="21" spans="1:9" ht="15">
      <c r="A21" s="388" t="s">
        <v>184</v>
      </c>
      <c r="B21" s="160" t="s">
        <v>580</v>
      </c>
      <c r="C21" s="285">
        <v>2457</v>
      </c>
      <c r="D21" s="285">
        <v>4388</v>
      </c>
      <c r="E21" s="285">
        <v>4388</v>
      </c>
      <c r="F21" s="285">
        <v>4388</v>
      </c>
      <c r="G21" s="285">
        <v>4520</v>
      </c>
      <c r="H21" s="357">
        <v>2520</v>
      </c>
      <c r="I21" s="198">
        <v>1000</v>
      </c>
    </row>
    <row r="22" spans="1:9" ht="15">
      <c r="A22" s="388" t="s">
        <v>581</v>
      </c>
      <c r="B22" s="160" t="s">
        <v>563</v>
      </c>
      <c r="C22" s="285">
        <v>0</v>
      </c>
      <c r="D22" s="285">
        <v>3000</v>
      </c>
      <c r="E22" s="285">
        <v>3000</v>
      </c>
      <c r="F22" s="285">
        <v>3000</v>
      </c>
      <c r="G22" s="285"/>
      <c r="H22" s="357">
        <v>0</v>
      </c>
      <c r="I22" s="198">
        <v>300</v>
      </c>
    </row>
    <row r="23" spans="1:9" ht="15">
      <c r="A23" s="349" t="s">
        <v>186</v>
      </c>
      <c r="B23" s="358"/>
      <c r="C23" s="359"/>
      <c r="D23" s="359"/>
      <c r="E23" s="359"/>
      <c r="F23" s="359"/>
      <c r="G23" s="359"/>
      <c r="H23" s="360"/>
      <c r="I23" s="389"/>
    </row>
    <row r="24" spans="1:9" ht="15">
      <c r="A24" s="388" t="s">
        <v>187</v>
      </c>
      <c r="B24" s="160" t="s">
        <v>582</v>
      </c>
      <c r="C24" s="285"/>
      <c r="D24" s="285"/>
      <c r="E24" s="285"/>
      <c r="F24" s="285"/>
      <c r="G24" s="285"/>
      <c r="H24" s="357">
        <v>0</v>
      </c>
      <c r="I24" s="198">
        <v>500</v>
      </c>
    </row>
    <row r="25" spans="1:9" ht="15">
      <c r="A25" s="388" t="s">
        <v>189</v>
      </c>
      <c r="B25" s="160"/>
      <c r="C25" s="285"/>
      <c r="D25" s="285"/>
      <c r="E25" s="285"/>
      <c r="F25" s="285"/>
      <c r="G25" s="285"/>
      <c r="H25" s="357"/>
      <c r="I25" s="198"/>
    </row>
    <row r="26" spans="1:9" ht="15">
      <c r="A26" s="349" t="s">
        <v>191</v>
      </c>
      <c r="B26" s="358"/>
      <c r="C26" s="359"/>
      <c r="D26" s="359"/>
      <c r="E26" s="359"/>
      <c r="F26" s="359"/>
      <c r="G26" s="359"/>
      <c r="H26" s="360"/>
      <c r="I26" s="389"/>
    </row>
    <row r="27" spans="1:9" ht="15">
      <c r="A27" s="388" t="s">
        <v>344</v>
      </c>
      <c r="B27" s="160" t="s">
        <v>583</v>
      </c>
      <c r="C27" s="285">
        <v>1200</v>
      </c>
      <c r="D27" s="285">
        <v>1200</v>
      </c>
      <c r="E27" s="285">
        <v>1200</v>
      </c>
      <c r="F27" s="285">
        <v>1200</v>
      </c>
      <c r="G27" s="285">
        <v>2000</v>
      </c>
      <c r="H27" s="357">
        <v>2000</v>
      </c>
      <c r="I27" s="198"/>
    </row>
    <row r="28" spans="1:9" ht="15">
      <c r="A28" s="388" t="s">
        <v>260</v>
      </c>
      <c r="B28" s="160" t="s">
        <v>584</v>
      </c>
      <c r="C28" s="285">
        <v>10000</v>
      </c>
      <c r="D28" s="285">
        <v>10000</v>
      </c>
      <c r="E28" s="285">
        <v>10000</v>
      </c>
      <c r="F28" s="285">
        <v>10000</v>
      </c>
      <c r="G28" s="285">
        <v>7500</v>
      </c>
      <c r="H28" s="357">
        <v>7500</v>
      </c>
      <c r="I28" s="198">
        <v>204</v>
      </c>
    </row>
    <row r="29" spans="1:9" ht="15">
      <c r="A29" s="388" t="s">
        <v>377</v>
      </c>
      <c r="B29" s="160" t="s">
        <v>585</v>
      </c>
      <c r="C29" s="285"/>
      <c r="D29" s="285"/>
      <c r="E29" s="285"/>
      <c r="F29" s="285"/>
      <c r="G29" s="285">
        <v>300</v>
      </c>
      <c r="H29" s="357">
        <v>300</v>
      </c>
      <c r="I29" s="390"/>
    </row>
    <row r="30" spans="1:9" ht="15">
      <c r="A30" s="388" t="s">
        <v>586</v>
      </c>
      <c r="B30" s="160" t="s">
        <v>587</v>
      </c>
      <c r="C30" s="285">
        <v>-4950</v>
      </c>
      <c r="D30" s="285">
        <v>0</v>
      </c>
      <c r="E30" s="285">
        <v>0</v>
      </c>
      <c r="F30" s="285">
        <v>0</v>
      </c>
      <c r="G30" s="285">
        <v>-5868</v>
      </c>
      <c r="H30" s="357">
        <v>-5868</v>
      </c>
      <c r="I30" s="198"/>
    </row>
    <row r="31" spans="1:9" ht="15">
      <c r="A31" s="386" t="s">
        <v>588</v>
      </c>
      <c r="B31" s="361"/>
      <c r="C31" s="356">
        <f t="shared" ref="C31:I31" si="0">SUM(C4:C30)</f>
        <v>244244</v>
      </c>
      <c r="D31" s="356">
        <f t="shared" si="0"/>
        <v>250710</v>
      </c>
      <c r="E31" s="356">
        <f t="shared" si="0"/>
        <v>250710</v>
      </c>
      <c r="F31" s="356">
        <f t="shared" si="0"/>
        <v>225142</v>
      </c>
      <c r="G31" s="356">
        <f t="shared" si="0"/>
        <v>163004</v>
      </c>
      <c r="H31" s="356">
        <f t="shared" si="0"/>
        <v>138990</v>
      </c>
      <c r="I31" s="391">
        <f t="shared" si="0"/>
        <v>105173.49</v>
      </c>
    </row>
    <row r="32" spans="1:9" ht="15" hidden="1">
      <c r="A32" s="434" t="s">
        <v>47</v>
      </c>
      <c r="B32" s="435" t="s">
        <v>589</v>
      </c>
      <c r="C32" s="436"/>
      <c r="D32" s="436"/>
      <c r="E32" s="436"/>
      <c r="F32" s="436"/>
      <c r="G32" s="436"/>
      <c r="H32" s="435"/>
      <c r="I32" s="437"/>
    </row>
    <row r="33" spans="1:9" ht="15" hidden="1">
      <c r="A33" s="349" t="s">
        <v>157</v>
      </c>
      <c r="B33" s="358"/>
      <c r="C33" s="359"/>
      <c r="D33" s="359"/>
      <c r="E33" s="359"/>
      <c r="F33" s="359"/>
      <c r="G33" s="359"/>
      <c r="H33" s="358"/>
      <c r="I33" s="387"/>
    </row>
    <row r="34" spans="1:9" ht="15" hidden="1">
      <c r="A34" s="388" t="s">
        <v>590</v>
      </c>
      <c r="B34" s="160" t="s">
        <v>591</v>
      </c>
      <c r="C34" s="285"/>
      <c r="D34" s="285"/>
      <c r="E34" s="285"/>
      <c r="F34" s="285"/>
      <c r="G34" s="285"/>
      <c r="H34" s="357">
        <v>0</v>
      </c>
      <c r="I34" s="198">
        <v>31913.96</v>
      </c>
    </row>
    <row r="35" spans="1:9" ht="15" hidden="1">
      <c r="A35" s="388" t="s">
        <v>592</v>
      </c>
      <c r="B35" s="160" t="s">
        <v>593</v>
      </c>
      <c r="C35" s="285"/>
      <c r="D35" s="285"/>
      <c r="E35" s="285"/>
      <c r="F35" s="285"/>
      <c r="G35" s="285"/>
      <c r="H35" s="357">
        <v>0</v>
      </c>
      <c r="I35" s="198">
        <v>11006</v>
      </c>
    </row>
    <row r="36" spans="1:9" ht="15" hidden="1">
      <c r="A36" s="388" t="s">
        <v>594</v>
      </c>
      <c r="B36" s="160" t="s">
        <v>595</v>
      </c>
      <c r="C36" s="285"/>
      <c r="D36" s="285"/>
      <c r="E36" s="285"/>
      <c r="F36" s="285"/>
      <c r="G36" s="285"/>
      <c r="H36" s="357">
        <v>0</v>
      </c>
      <c r="I36" s="198"/>
    </row>
    <row r="37" spans="1:9" ht="15" hidden="1">
      <c r="A37" s="388" t="s">
        <v>596</v>
      </c>
      <c r="B37" s="160" t="s">
        <v>597</v>
      </c>
      <c r="C37" s="285"/>
      <c r="D37" s="285"/>
      <c r="E37" s="285"/>
      <c r="F37" s="285"/>
      <c r="G37" s="285"/>
      <c r="H37" s="357">
        <v>0</v>
      </c>
      <c r="I37" s="198"/>
    </row>
    <row r="38" spans="1:9" ht="15" hidden="1">
      <c r="A38" s="349" t="s">
        <v>165</v>
      </c>
      <c r="B38" s="358"/>
      <c r="C38" s="359"/>
      <c r="D38" s="359"/>
      <c r="E38" s="359"/>
      <c r="F38" s="359"/>
      <c r="G38" s="359"/>
      <c r="H38" s="360"/>
      <c r="I38" s="389"/>
    </row>
    <row r="39" spans="1:9" ht="15" hidden="1">
      <c r="A39" s="388" t="s">
        <v>166</v>
      </c>
      <c r="B39" s="160" t="s">
        <v>598</v>
      </c>
      <c r="C39" s="285"/>
      <c r="D39" s="285"/>
      <c r="E39" s="285"/>
      <c r="F39" s="285"/>
      <c r="G39" s="285"/>
      <c r="H39" s="357">
        <v>0</v>
      </c>
      <c r="I39" s="198">
        <v>2990</v>
      </c>
    </row>
    <row r="40" spans="1:9" ht="15" hidden="1">
      <c r="A40" s="388" t="s">
        <v>168</v>
      </c>
      <c r="B40" s="160" t="s">
        <v>599</v>
      </c>
      <c r="C40" s="285"/>
      <c r="D40" s="285"/>
      <c r="E40" s="285"/>
      <c r="F40" s="285"/>
      <c r="G40" s="285"/>
      <c r="H40" s="357">
        <v>0</v>
      </c>
      <c r="I40" s="198"/>
    </row>
    <row r="41" spans="1:9" ht="15" hidden="1">
      <c r="A41" s="349" t="s">
        <v>170</v>
      </c>
      <c r="B41" s="362"/>
      <c r="C41" s="363"/>
      <c r="D41" s="363"/>
      <c r="E41" s="363"/>
      <c r="F41" s="363"/>
      <c r="G41" s="363"/>
      <c r="H41" s="364"/>
      <c r="I41" s="392"/>
    </row>
    <row r="42" spans="1:9" ht="15" hidden="1">
      <c r="A42" s="388" t="s">
        <v>171</v>
      </c>
      <c r="B42" s="160" t="s">
        <v>600</v>
      </c>
      <c r="C42" s="285"/>
      <c r="D42" s="285"/>
      <c r="E42" s="285"/>
      <c r="F42" s="285"/>
      <c r="G42" s="285"/>
      <c r="H42" s="357">
        <v>0</v>
      </c>
      <c r="I42" s="198">
        <v>1720</v>
      </c>
    </row>
    <row r="43" spans="1:9" ht="15" hidden="1">
      <c r="A43" s="388" t="s">
        <v>173</v>
      </c>
      <c r="B43" s="160" t="s">
        <v>601</v>
      </c>
      <c r="C43" s="285"/>
      <c r="D43" s="285"/>
      <c r="E43" s="285"/>
      <c r="F43" s="285"/>
      <c r="G43" s="285"/>
      <c r="H43" s="357">
        <v>0</v>
      </c>
      <c r="I43" s="198">
        <v>300</v>
      </c>
    </row>
    <row r="44" spans="1:9" ht="15" hidden="1">
      <c r="A44" s="388" t="s">
        <v>175</v>
      </c>
      <c r="B44" s="160" t="s">
        <v>602</v>
      </c>
      <c r="C44" s="285"/>
      <c r="D44" s="285"/>
      <c r="E44" s="285"/>
      <c r="F44" s="285"/>
      <c r="G44" s="285"/>
      <c r="H44" s="357">
        <v>0</v>
      </c>
      <c r="I44" s="198">
        <v>200</v>
      </c>
    </row>
    <row r="45" spans="1:9" ht="15" hidden="1">
      <c r="A45" s="388" t="s">
        <v>179</v>
      </c>
      <c r="B45" s="160" t="s">
        <v>603</v>
      </c>
      <c r="C45" s="285"/>
      <c r="D45" s="285"/>
      <c r="E45" s="285"/>
      <c r="F45" s="285"/>
      <c r="G45" s="285"/>
      <c r="H45" s="357">
        <v>0</v>
      </c>
      <c r="I45" s="198">
        <v>2632</v>
      </c>
    </row>
    <row r="46" spans="1:9" ht="15" hidden="1">
      <c r="A46" s="388" t="s">
        <v>260</v>
      </c>
      <c r="B46" s="160" t="s">
        <v>604</v>
      </c>
      <c r="C46" s="285"/>
      <c r="D46" s="285"/>
      <c r="E46" s="285"/>
      <c r="F46" s="285"/>
      <c r="G46" s="285"/>
      <c r="H46" s="357">
        <v>0</v>
      </c>
      <c r="I46" s="198">
        <v>9960</v>
      </c>
    </row>
    <row r="47" spans="1:9" ht="15" hidden="1">
      <c r="A47" s="388" t="s">
        <v>605</v>
      </c>
      <c r="B47" s="160" t="s">
        <v>606</v>
      </c>
      <c r="C47" s="285"/>
      <c r="D47" s="285"/>
      <c r="E47" s="285"/>
      <c r="F47" s="285"/>
      <c r="G47" s="285"/>
      <c r="H47" s="357">
        <v>0</v>
      </c>
      <c r="I47" s="198">
        <v>3900</v>
      </c>
    </row>
    <row r="48" spans="1:9" ht="15" hidden="1">
      <c r="A48" s="349" t="s">
        <v>181</v>
      </c>
      <c r="B48" s="358"/>
      <c r="C48" s="359"/>
      <c r="D48" s="359"/>
      <c r="E48" s="359"/>
      <c r="F48" s="359"/>
      <c r="G48" s="359"/>
      <c r="H48" s="360"/>
      <c r="I48" s="392"/>
    </row>
    <row r="49" spans="1:9" ht="15" hidden="1">
      <c r="A49" s="388" t="s">
        <v>182</v>
      </c>
      <c r="B49" s="160" t="s">
        <v>607</v>
      </c>
      <c r="C49" s="285"/>
      <c r="D49" s="285"/>
      <c r="E49" s="285"/>
      <c r="F49" s="285"/>
      <c r="G49" s="285"/>
      <c r="H49" s="357">
        <v>0</v>
      </c>
      <c r="I49" s="198"/>
    </row>
    <row r="50" spans="1:9" ht="15" hidden="1">
      <c r="A50" s="388" t="s">
        <v>184</v>
      </c>
      <c r="B50" s="160" t="s">
        <v>608</v>
      </c>
      <c r="C50" s="285"/>
      <c r="D50" s="285"/>
      <c r="E50" s="285"/>
      <c r="F50" s="285"/>
      <c r="G50" s="285"/>
      <c r="H50" s="357">
        <v>0</v>
      </c>
      <c r="I50" s="198">
        <v>7620</v>
      </c>
    </row>
    <row r="51" spans="1:9" ht="15" hidden="1">
      <c r="A51" s="349" t="s">
        <v>609</v>
      </c>
      <c r="B51" s="358"/>
      <c r="C51" s="359"/>
      <c r="D51" s="359"/>
      <c r="E51" s="359"/>
      <c r="F51" s="359"/>
      <c r="G51" s="359"/>
      <c r="H51" s="360"/>
      <c r="I51" s="392"/>
    </row>
    <row r="52" spans="1:9" ht="15" hidden="1">
      <c r="A52" s="388" t="s">
        <v>243</v>
      </c>
      <c r="B52" s="160" t="s">
        <v>610</v>
      </c>
      <c r="C52" s="285"/>
      <c r="D52" s="285"/>
      <c r="E52" s="285"/>
      <c r="F52" s="285"/>
      <c r="G52" s="285"/>
      <c r="H52" s="357">
        <v>0</v>
      </c>
      <c r="I52" s="198">
        <v>50</v>
      </c>
    </row>
    <row r="53" spans="1:9" ht="15" hidden="1">
      <c r="A53" s="388" t="s">
        <v>611</v>
      </c>
      <c r="B53" s="160" t="s">
        <v>606</v>
      </c>
      <c r="C53" s="285"/>
      <c r="D53" s="285"/>
      <c r="E53" s="285"/>
      <c r="F53" s="285"/>
      <c r="G53" s="285"/>
      <c r="H53" s="357">
        <v>0</v>
      </c>
      <c r="I53" s="198">
        <v>2000</v>
      </c>
    </row>
    <row r="54" spans="1:9" ht="15" hidden="1">
      <c r="A54" s="388" t="s">
        <v>612</v>
      </c>
      <c r="B54" s="160" t="s">
        <v>606</v>
      </c>
      <c r="C54" s="285"/>
      <c r="D54" s="285"/>
      <c r="E54" s="285"/>
      <c r="F54" s="285"/>
      <c r="G54" s="285"/>
      <c r="H54" s="357">
        <v>0</v>
      </c>
      <c r="I54" s="198">
        <v>2500</v>
      </c>
    </row>
    <row r="55" spans="1:9" ht="15" hidden="1">
      <c r="A55" s="349" t="s">
        <v>191</v>
      </c>
      <c r="B55" s="358"/>
      <c r="C55" s="359"/>
      <c r="D55" s="359"/>
      <c r="E55" s="359"/>
      <c r="F55" s="359"/>
      <c r="G55" s="359"/>
      <c r="H55" s="360"/>
      <c r="I55" s="392"/>
    </row>
    <row r="56" spans="1:9" ht="15" hidden="1">
      <c r="A56" s="388" t="s">
        <v>613</v>
      </c>
      <c r="B56" s="160" t="s">
        <v>614</v>
      </c>
      <c r="C56" s="285"/>
      <c r="D56" s="285"/>
      <c r="E56" s="285"/>
      <c r="F56" s="285"/>
      <c r="G56" s="285"/>
      <c r="H56" s="357">
        <v>0</v>
      </c>
      <c r="I56" s="198">
        <v>2000</v>
      </c>
    </row>
    <row r="57" spans="1:9" ht="15" hidden="1">
      <c r="A57" s="388" t="s">
        <v>615</v>
      </c>
      <c r="B57" s="160" t="s">
        <v>616</v>
      </c>
      <c r="C57" s="285"/>
      <c r="D57" s="285"/>
      <c r="E57" s="285"/>
      <c r="F57" s="285"/>
      <c r="G57" s="285"/>
      <c r="H57" s="357">
        <v>0</v>
      </c>
      <c r="I57" s="198"/>
    </row>
    <row r="58" spans="1:9" ht="15" hidden="1">
      <c r="A58" s="388" t="s">
        <v>617</v>
      </c>
      <c r="B58" s="160" t="s">
        <v>618</v>
      </c>
      <c r="C58" s="285"/>
      <c r="D58" s="285"/>
      <c r="E58" s="285"/>
      <c r="F58" s="285"/>
      <c r="G58" s="285"/>
      <c r="H58" s="357">
        <v>0</v>
      </c>
      <c r="I58" s="198"/>
    </row>
    <row r="59" spans="1:9" ht="15" hidden="1">
      <c r="A59" s="388" t="s">
        <v>377</v>
      </c>
      <c r="B59" s="160" t="s">
        <v>619</v>
      </c>
      <c r="C59" s="285"/>
      <c r="D59" s="285"/>
      <c r="E59" s="285"/>
      <c r="F59" s="285"/>
      <c r="G59" s="285"/>
      <c r="H59" s="357">
        <v>0</v>
      </c>
      <c r="I59" s="198">
        <v>1000</v>
      </c>
    </row>
    <row r="60" spans="1:9" ht="15" hidden="1">
      <c r="A60" s="388" t="s">
        <v>194</v>
      </c>
      <c r="B60" s="160"/>
      <c r="C60" s="285"/>
      <c r="D60" s="285"/>
      <c r="E60" s="285"/>
      <c r="F60" s="285"/>
      <c r="G60" s="285"/>
      <c r="H60" s="357">
        <v>0</v>
      </c>
      <c r="I60" s="198"/>
    </row>
    <row r="61" spans="1:9" ht="15" hidden="1">
      <c r="A61" s="386" t="s">
        <v>620</v>
      </c>
      <c r="B61" s="361"/>
      <c r="C61" s="365"/>
      <c r="D61" s="365"/>
      <c r="E61" s="365"/>
      <c r="F61" s="365"/>
      <c r="G61" s="365"/>
      <c r="H61" s="356">
        <v>0</v>
      </c>
      <c r="I61" s="391">
        <f>SUM(I34:I59)</f>
        <v>79791.959999999992</v>
      </c>
    </row>
    <row r="62" spans="1:9" ht="15">
      <c r="A62" s="434" t="s">
        <v>621</v>
      </c>
      <c r="B62" s="435" t="s">
        <v>622</v>
      </c>
      <c r="C62" s="436"/>
      <c r="D62" s="436"/>
      <c r="E62" s="436"/>
      <c r="F62" s="436"/>
      <c r="G62" s="436"/>
      <c r="H62" s="435" t="s">
        <v>622</v>
      </c>
      <c r="I62" s="437"/>
    </row>
    <row r="63" spans="1:9" ht="15">
      <c r="A63" s="349" t="s">
        <v>157</v>
      </c>
      <c r="B63" s="358"/>
      <c r="C63" s="359"/>
      <c r="D63" s="359"/>
      <c r="E63" s="359"/>
      <c r="F63" s="359"/>
      <c r="G63" s="359"/>
      <c r="H63" s="358"/>
      <c r="I63" s="387"/>
    </row>
    <row r="64" spans="1:9" ht="15">
      <c r="A64" s="388" t="s">
        <v>557</v>
      </c>
      <c r="B64" s="160" t="s">
        <v>623</v>
      </c>
      <c r="C64" s="285">
        <v>244045</v>
      </c>
      <c r="D64" s="285">
        <v>248100</v>
      </c>
      <c r="E64" s="285">
        <v>248100</v>
      </c>
      <c r="F64" s="721">
        <v>304707</v>
      </c>
      <c r="G64" s="721">
        <v>133900</v>
      </c>
      <c r="H64" s="357">
        <v>133900</v>
      </c>
      <c r="I64" s="198">
        <v>128004</v>
      </c>
    </row>
    <row r="65" spans="1:9" ht="15">
      <c r="A65" s="388" t="s">
        <v>527</v>
      </c>
      <c r="B65" s="160" t="s">
        <v>624</v>
      </c>
      <c r="C65" s="285">
        <v>83210</v>
      </c>
      <c r="D65" s="285">
        <v>75956</v>
      </c>
      <c r="E65" s="285">
        <v>75956</v>
      </c>
      <c r="F65" s="285">
        <v>96497</v>
      </c>
      <c r="G65" s="285">
        <v>52246</v>
      </c>
      <c r="H65" s="357">
        <v>52246</v>
      </c>
      <c r="I65" s="198">
        <v>49950</v>
      </c>
    </row>
    <row r="66" spans="1:9" ht="15">
      <c r="A66" s="388" t="s">
        <v>203</v>
      </c>
      <c r="B66" s="160" t="s">
        <v>625</v>
      </c>
      <c r="C66" s="285"/>
      <c r="D66" s="285"/>
      <c r="E66" s="285"/>
      <c r="F66" s="285"/>
      <c r="G66" s="285"/>
      <c r="H66" s="357">
        <v>0</v>
      </c>
      <c r="I66" s="393"/>
    </row>
    <row r="67" spans="1:9" ht="15">
      <c r="A67" s="388" t="s">
        <v>568</v>
      </c>
      <c r="B67" s="160" t="s">
        <v>626</v>
      </c>
      <c r="C67" s="285">
        <v>1080</v>
      </c>
      <c r="D67" s="285"/>
      <c r="E67" s="285"/>
      <c r="F67" s="285"/>
      <c r="G67" s="285"/>
      <c r="H67" s="357">
        <v>0</v>
      </c>
      <c r="I67" s="393"/>
    </row>
    <row r="68" spans="1:9" ht="15">
      <c r="A68" s="349" t="s">
        <v>170</v>
      </c>
      <c r="B68" s="358"/>
      <c r="C68" s="359"/>
      <c r="D68" s="359"/>
      <c r="E68" s="359"/>
      <c r="F68" s="359"/>
      <c r="G68" s="359"/>
      <c r="H68" s="360"/>
      <c r="I68" s="387"/>
    </row>
    <row r="69" spans="1:9" ht="15">
      <c r="A69" s="388" t="s">
        <v>171</v>
      </c>
      <c r="B69" s="160" t="s">
        <v>627</v>
      </c>
      <c r="C69" s="285">
        <v>4368</v>
      </c>
      <c r="D69" s="285">
        <v>3840</v>
      </c>
      <c r="E69" s="285">
        <v>3840</v>
      </c>
      <c r="F69" s="285">
        <v>3840</v>
      </c>
      <c r="G69" s="285">
        <v>6240</v>
      </c>
      <c r="H69" s="357">
        <v>6240</v>
      </c>
      <c r="I69" s="198">
        <v>6006.96</v>
      </c>
    </row>
    <row r="70" spans="1:9" ht="15">
      <c r="A70" s="388" t="s">
        <v>173</v>
      </c>
      <c r="B70" s="160" t="s">
        <v>628</v>
      </c>
      <c r="C70" s="285">
        <v>1800</v>
      </c>
      <c r="D70" s="285">
        <v>1200</v>
      </c>
      <c r="E70" s="285">
        <v>1200</v>
      </c>
      <c r="F70" s="285">
        <v>1200</v>
      </c>
      <c r="G70" s="285">
        <v>1400</v>
      </c>
      <c r="H70" s="357">
        <v>1400</v>
      </c>
      <c r="I70" s="198">
        <v>1404</v>
      </c>
    </row>
    <row r="71" spans="1:9" ht="15">
      <c r="A71" s="388" t="s">
        <v>175</v>
      </c>
      <c r="B71" s="160" t="s">
        <v>629</v>
      </c>
      <c r="C71" s="285"/>
      <c r="D71" s="285"/>
      <c r="E71" s="285"/>
      <c r="F71" s="285"/>
      <c r="G71" s="285"/>
      <c r="H71" s="357">
        <v>0</v>
      </c>
      <c r="I71" s="393"/>
    </row>
    <row r="72" spans="1:9" ht="15">
      <c r="A72" s="349" t="s">
        <v>191</v>
      </c>
      <c r="B72" s="358"/>
      <c r="C72" s="359"/>
      <c r="D72" s="359"/>
      <c r="E72" s="359"/>
      <c r="F72" s="359"/>
      <c r="G72" s="359"/>
      <c r="H72" s="360"/>
      <c r="I72" s="387"/>
    </row>
    <row r="73" spans="1:9" ht="15">
      <c r="A73" s="388" t="s">
        <v>630</v>
      </c>
      <c r="B73" s="160" t="s">
        <v>631</v>
      </c>
      <c r="C73" s="285"/>
      <c r="D73" s="285"/>
      <c r="E73" s="285"/>
      <c r="F73" s="285"/>
      <c r="G73" s="285"/>
      <c r="H73" s="357"/>
      <c r="I73" s="393"/>
    </row>
    <row r="74" spans="1:9" ht="15">
      <c r="A74" s="388" t="s">
        <v>179</v>
      </c>
      <c r="B74" s="160" t="s">
        <v>632</v>
      </c>
      <c r="C74" s="285">
        <v>425</v>
      </c>
      <c r="D74" s="285"/>
      <c r="E74" s="285"/>
      <c r="F74" s="285"/>
      <c r="G74" s="285">
        <v>550</v>
      </c>
      <c r="H74" s="357">
        <v>550</v>
      </c>
      <c r="I74" s="198">
        <v>550</v>
      </c>
    </row>
    <row r="75" spans="1:9" ht="15">
      <c r="A75" s="388" t="s">
        <v>633</v>
      </c>
      <c r="B75" s="160" t="s">
        <v>634</v>
      </c>
      <c r="C75" s="285">
        <v>5000</v>
      </c>
      <c r="D75" s="285">
        <v>3000</v>
      </c>
      <c r="E75" s="285">
        <v>3000</v>
      </c>
      <c r="F75" s="285">
        <v>3000</v>
      </c>
      <c r="G75" s="285">
        <v>3000</v>
      </c>
      <c r="H75" s="357">
        <v>3000</v>
      </c>
      <c r="I75" s="198">
        <v>3400</v>
      </c>
    </row>
    <row r="76" spans="1:9" ht="15">
      <c r="A76" s="388" t="s">
        <v>562</v>
      </c>
      <c r="B76" s="160" t="s">
        <v>635</v>
      </c>
      <c r="C76" s="285">
        <v>4800</v>
      </c>
      <c r="D76" s="285">
        <v>9600</v>
      </c>
      <c r="E76" s="285">
        <v>9600</v>
      </c>
      <c r="F76" s="285">
        <v>9600</v>
      </c>
      <c r="G76" s="285">
        <v>2268</v>
      </c>
      <c r="H76" s="357">
        <v>2268</v>
      </c>
      <c r="I76" s="198">
        <v>2000</v>
      </c>
    </row>
    <row r="77" spans="1:9" ht="15">
      <c r="A77" s="388" t="s">
        <v>260</v>
      </c>
      <c r="B77" s="160" t="s">
        <v>636</v>
      </c>
      <c r="C77" s="285">
        <v>3500</v>
      </c>
      <c r="D77" s="285">
        <v>2700</v>
      </c>
      <c r="E77" s="285">
        <v>2700</v>
      </c>
      <c r="F77" s="285">
        <v>2700</v>
      </c>
      <c r="G77" s="285"/>
      <c r="H77" s="357"/>
      <c r="I77" s="393"/>
    </row>
    <row r="78" spans="1:9" ht="15">
      <c r="A78" s="388" t="s">
        <v>637</v>
      </c>
      <c r="B78" s="160" t="s">
        <v>638</v>
      </c>
      <c r="C78" s="285"/>
      <c r="D78" s="285"/>
      <c r="E78" s="285"/>
      <c r="F78" s="285"/>
      <c r="G78" s="285">
        <v>100</v>
      </c>
      <c r="H78" s="357">
        <v>100</v>
      </c>
      <c r="I78" s="198">
        <v>310.74</v>
      </c>
    </row>
    <row r="79" spans="1:9" ht="15">
      <c r="A79" s="388" t="s">
        <v>639</v>
      </c>
      <c r="B79" s="160" t="s">
        <v>640</v>
      </c>
      <c r="C79" s="285"/>
      <c r="D79" s="285">
        <v>360</v>
      </c>
      <c r="E79" s="285">
        <v>360</v>
      </c>
      <c r="F79" s="285"/>
      <c r="G79" s="285"/>
      <c r="H79" s="357"/>
      <c r="I79" s="393"/>
    </row>
    <row r="80" spans="1:9" ht="15">
      <c r="A80" s="388" t="s">
        <v>573</v>
      </c>
      <c r="B80" s="160" t="s">
        <v>641</v>
      </c>
      <c r="C80" s="285">
        <v>240</v>
      </c>
      <c r="D80" s="285">
        <v>275</v>
      </c>
      <c r="E80" s="285">
        <v>275</v>
      </c>
      <c r="F80" s="285">
        <v>275</v>
      </c>
      <c r="G80" s="285"/>
      <c r="H80" s="357"/>
      <c r="I80" s="393"/>
    </row>
    <row r="81" spans="1:9" ht="15">
      <c r="A81" s="388" t="s">
        <v>182</v>
      </c>
      <c r="B81" s="160" t="s">
        <v>642</v>
      </c>
      <c r="C81" s="285"/>
      <c r="D81" s="285"/>
      <c r="E81" s="285"/>
      <c r="F81" s="285"/>
      <c r="G81" s="285">
        <v>1000</v>
      </c>
      <c r="H81" s="357">
        <v>1000</v>
      </c>
      <c r="I81" s="198">
        <v>1000</v>
      </c>
    </row>
    <row r="82" spans="1:9" ht="15">
      <c r="A82" s="388" t="s">
        <v>643</v>
      </c>
      <c r="B82" s="160" t="s">
        <v>644</v>
      </c>
      <c r="C82" s="285"/>
      <c r="D82" s="285"/>
      <c r="E82" s="285"/>
      <c r="F82" s="285"/>
      <c r="G82" s="285">
        <v>1000</v>
      </c>
      <c r="H82" s="357">
        <v>1000</v>
      </c>
      <c r="I82" s="198">
        <v>2000</v>
      </c>
    </row>
    <row r="83" spans="1:9" ht="15">
      <c r="A83" s="388" t="s">
        <v>184</v>
      </c>
      <c r="B83" s="160" t="s">
        <v>645</v>
      </c>
      <c r="C83" s="285">
        <v>4440</v>
      </c>
      <c r="D83" s="285">
        <v>5500</v>
      </c>
      <c r="E83" s="285">
        <v>5500</v>
      </c>
      <c r="F83" s="285">
        <v>5500</v>
      </c>
      <c r="G83" s="285">
        <v>9500</v>
      </c>
      <c r="H83" s="357">
        <v>9500</v>
      </c>
      <c r="I83" s="198">
        <v>14065</v>
      </c>
    </row>
    <row r="84" spans="1:9" ht="15">
      <c r="A84" s="388" t="s">
        <v>646</v>
      </c>
      <c r="B84" s="160" t="s">
        <v>647</v>
      </c>
      <c r="C84" s="285">
        <v>1351</v>
      </c>
      <c r="D84" s="285"/>
      <c r="E84" s="285"/>
      <c r="F84" s="285"/>
      <c r="G84" s="285"/>
      <c r="H84" s="357"/>
      <c r="I84" s="393"/>
    </row>
    <row r="85" spans="1:9" ht="15">
      <c r="A85" s="388" t="s">
        <v>235</v>
      </c>
      <c r="B85" s="160" t="s">
        <v>648</v>
      </c>
      <c r="C85" s="285">
        <v>2700</v>
      </c>
      <c r="D85" s="285">
        <v>3460</v>
      </c>
      <c r="E85" s="285">
        <v>3460</v>
      </c>
      <c r="F85" s="285">
        <v>3460</v>
      </c>
      <c r="G85" s="285">
        <v>5150</v>
      </c>
      <c r="H85" s="357">
        <v>5150</v>
      </c>
      <c r="I85" s="198">
        <v>5004</v>
      </c>
    </row>
    <row r="86" spans="1:9" ht="15">
      <c r="A86" s="388" t="s">
        <v>613</v>
      </c>
      <c r="B86" s="160" t="s">
        <v>649</v>
      </c>
      <c r="C86" s="285">
        <v>2000</v>
      </c>
      <c r="D86" s="285">
        <v>4000</v>
      </c>
      <c r="E86" s="285">
        <v>4000</v>
      </c>
      <c r="F86" s="285">
        <v>4000</v>
      </c>
      <c r="G86" s="285"/>
      <c r="H86" s="357">
        <v>0</v>
      </c>
      <c r="I86" s="198">
        <v>2000</v>
      </c>
    </row>
    <row r="87" spans="1:9" ht="15">
      <c r="A87" s="388" t="s">
        <v>575</v>
      </c>
      <c r="B87" s="160" t="s">
        <v>650</v>
      </c>
      <c r="C87" s="285">
        <v>30000</v>
      </c>
      <c r="D87" s="285">
        <v>20000</v>
      </c>
      <c r="E87" s="285">
        <v>20000</v>
      </c>
      <c r="F87" s="285">
        <v>20000</v>
      </c>
      <c r="G87" s="285">
        <v>15000</v>
      </c>
      <c r="H87" s="357">
        <v>15000</v>
      </c>
      <c r="I87" s="198">
        <v>10000</v>
      </c>
    </row>
    <row r="88" spans="1:9" ht="15">
      <c r="A88" s="388" t="s">
        <v>651</v>
      </c>
      <c r="B88" s="160" t="s">
        <v>652</v>
      </c>
      <c r="C88" s="285">
        <v>2400</v>
      </c>
      <c r="D88" s="285">
        <v>2400</v>
      </c>
      <c r="E88" s="285">
        <v>2400</v>
      </c>
      <c r="F88" s="285">
        <v>2400</v>
      </c>
      <c r="G88" s="285">
        <v>2000</v>
      </c>
      <c r="H88" s="357">
        <v>2000</v>
      </c>
      <c r="I88" s="393"/>
    </row>
    <row r="89" spans="1:9" ht="15">
      <c r="A89" s="388" t="s">
        <v>377</v>
      </c>
      <c r="B89" s="160" t="s">
        <v>653</v>
      </c>
      <c r="C89" s="285"/>
      <c r="D89" s="285">
        <v>50</v>
      </c>
      <c r="E89" s="285">
        <v>50</v>
      </c>
      <c r="F89" s="285">
        <v>50</v>
      </c>
      <c r="G89" s="285">
        <v>9680</v>
      </c>
      <c r="H89" s="357">
        <v>6000</v>
      </c>
      <c r="I89" s="198">
        <v>6000</v>
      </c>
    </row>
    <row r="90" spans="1:9" ht="15">
      <c r="A90" s="195" t="s">
        <v>401</v>
      </c>
      <c r="B90" s="160" t="s">
        <v>647</v>
      </c>
      <c r="C90" s="285">
        <v>1351</v>
      </c>
      <c r="D90" s="285"/>
      <c r="E90" s="285"/>
      <c r="F90" s="285"/>
      <c r="G90" s="285"/>
      <c r="H90" s="357"/>
      <c r="I90" s="393"/>
    </row>
    <row r="91" spans="1:9" ht="15">
      <c r="A91" s="386" t="s">
        <v>654</v>
      </c>
      <c r="B91" s="366"/>
      <c r="C91" s="356">
        <f t="shared" ref="C91:H91" si="1">SUM(C64:C90)</f>
        <v>392710</v>
      </c>
      <c r="D91" s="356">
        <f t="shared" si="1"/>
        <v>380441</v>
      </c>
      <c r="E91" s="356">
        <f t="shared" si="1"/>
        <v>380441</v>
      </c>
      <c r="F91" s="356">
        <f t="shared" si="1"/>
        <v>457229</v>
      </c>
      <c r="G91" s="356">
        <f t="shared" si="1"/>
        <v>243034</v>
      </c>
      <c r="H91" s="356">
        <f t="shared" si="1"/>
        <v>239354</v>
      </c>
      <c r="I91" s="391">
        <f>SUM(I64:I89)</f>
        <v>231694.69999999998</v>
      </c>
    </row>
    <row r="92" spans="1:9" ht="15">
      <c r="A92" s="434" t="s">
        <v>655</v>
      </c>
      <c r="B92" s="439">
        <v>1189</v>
      </c>
      <c r="C92" s="440"/>
      <c r="D92" s="440"/>
      <c r="E92" s="440"/>
      <c r="F92" s="440"/>
      <c r="G92" s="440"/>
      <c r="H92" s="439"/>
      <c r="I92" s="441"/>
    </row>
    <row r="93" spans="1:9" ht="15">
      <c r="A93" s="349" t="s">
        <v>157</v>
      </c>
      <c r="B93" s="358"/>
      <c r="C93" s="359"/>
      <c r="D93" s="359"/>
      <c r="E93" s="359"/>
      <c r="F93" s="359"/>
      <c r="G93" s="359"/>
      <c r="H93" s="358"/>
      <c r="I93" s="387"/>
    </row>
    <row r="94" spans="1:9" ht="15">
      <c r="A94" s="388" t="s">
        <v>364</v>
      </c>
      <c r="B94" s="160" t="s">
        <v>656</v>
      </c>
      <c r="C94" s="285">
        <v>257838</v>
      </c>
      <c r="D94" s="721">
        <v>137964</v>
      </c>
      <c r="E94" s="721">
        <v>194835</v>
      </c>
      <c r="F94" s="721">
        <v>194835</v>
      </c>
      <c r="G94" s="721">
        <v>288252</v>
      </c>
      <c r="H94" s="357">
        <v>288252</v>
      </c>
      <c r="I94" s="198">
        <v>81000</v>
      </c>
    </row>
    <row r="95" spans="1:9" ht="15">
      <c r="A95" s="388" t="s">
        <v>483</v>
      </c>
      <c r="B95" s="160" t="s">
        <v>657</v>
      </c>
      <c r="C95" s="285">
        <v>79567</v>
      </c>
      <c r="D95" s="285">
        <v>53717</v>
      </c>
      <c r="E95" s="285">
        <v>66001</v>
      </c>
      <c r="F95" s="285">
        <v>66001</v>
      </c>
      <c r="G95" s="285">
        <v>74392</v>
      </c>
      <c r="H95" s="357">
        <v>74392</v>
      </c>
      <c r="I95" s="198">
        <v>20000</v>
      </c>
    </row>
    <row r="96" spans="1:9" ht="15">
      <c r="A96" s="349" t="s">
        <v>170</v>
      </c>
      <c r="B96" s="358"/>
      <c r="C96" s="359"/>
      <c r="D96" s="359"/>
      <c r="E96" s="359"/>
      <c r="F96" s="359"/>
      <c r="G96" s="359"/>
      <c r="H96" s="360"/>
      <c r="I96" s="394"/>
    </row>
    <row r="97" spans="1:9" ht="15">
      <c r="A97" s="388" t="s">
        <v>374</v>
      </c>
      <c r="B97" s="160" t="s">
        <v>658</v>
      </c>
      <c r="C97" s="285"/>
      <c r="D97" s="285"/>
      <c r="E97" s="285"/>
      <c r="F97" s="285"/>
      <c r="G97" s="285">
        <v>120</v>
      </c>
      <c r="H97" s="357">
        <v>120</v>
      </c>
      <c r="I97" s="198">
        <v>240</v>
      </c>
    </row>
    <row r="98" spans="1:9" ht="15">
      <c r="A98" s="388" t="s">
        <v>175</v>
      </c>
      <c r="B98" s="160" t="s">
        <v>659</v>
      </c>
      <c r="C98" s="285">
        <v>1440</v>
      </c>
      <c r="D98" s="285">
        <v>1000</v>
      </c>
      <c r="E98" s="285">
        <v>1000</v>
      </c>
      <c r="F98" s="285">
        <v>1000</v>
      </c>
      <c r="G98" s="285"/>
      <c r="H98" s="357"/>
      <c r="I98" s="393"/>
    </row>
    <row r="99" spans="1:9" ht="15">
      <c r="A99" s="349" t="s">
        <v>165</v>
      </c>
      <c r="B99" s="358"/>
      <c r="C99" s="359"/>
      <c r="D99" s="359"/>
      <c r="E99" s="359"/>
      <c r="F99" s="359"/>
      <c r="G99" s="359"/>
      <c r="H99" s="360"/>
      <c r="I99" s="722"/>
    </row>
    <row r="100" spans="1:9" ht="15">
      <c r="A100" s="388" t="s">
        <v>660</v>
      </c>
      <c r="B100" s="160" t="s">
        <v>661</v>
      </c>
      <c r="C100" s="285"/>
      <c r="D100" s="285"/>
      <c r="E100" s="285"/>
      <c r="F100" s="285"/>
      <c r="G100" s="285"/>
      <c r="H100" s="357"/>
      <c r="I100" s="198">
        <v>3000</v>
      </c>
    </row>
    <row r="101" spans="1:9" ht="15">
      <c r="A101" s="349" t="s">
        <v>186</v>
      </c>
      <c r="B101" s="358"/>
      <c r="C101" s="359"/>
      <c r="D101" s="359"/>
      <c r="E101" s="359"/>
      <c r="F101" s="359"/>
      <c r="G101" s="359"/>
      <c r="H101" s="360"/>
      <c r="I101" s="722"/>
    </row>
    <row r="102" spans="1:9" ht="15">
      <c r="A102" s="388" t="s">
        <v>511</v>
      </c>
      <c r="B102" s="160" t="s">
        <v>662</v>
      </c>
      <c r="C102" s="285"/>
      <c r="D102" s="285">
        <v>6000</v>
      </c>
      <c r="E102" s="285">
        <v>6000</v>
      </c>
      <c r="F102" s="285">
        <v>6000</v>
      </c>
      <c r="G102" s="285">
        <v>3000</v>
      </c>
      <c r="H102" s="357">
        <v>3000</v>
      </c>
      <c r="I102" s="198">
        <v>1900</v>
      </c>
    </row>
    <row r="103" spans="1:9" ht="15">
      <c r="A103" s="388" t="s">
        <v>663</v>
      </c>
      <c r="B103" s="160" t="s">
        <v>664</v>
      </c>
      <c r="C103" s="285"/>
      <c r="D103" s="285"/>
      <c r="E103" s="285"/>
      <c r="F103" s="285"/>
      <c r="G103" s="285">
        <v>3500</v>
      </c>
      <c r="H103" s="357">
        <v>3500</v>
      </c>
      <c r="I103" s="198">
        <v>2250</v>
      </c>
    </row>
    <row r="104" spans="1:9" ht="15">
      <c r="A104" s="349" t="s">
        <v>181</v>
      </c>
      <c r="B104" s="358"/>
      <c r="C104" s="359"/>
      <c r="D104" s="359"/>
      <c r="E104" s="359"/>
      <c r="F104" s="359"/>
      <c r="G104" s="359"/>
      <c r="H104" s="360"/>
      <c r="I104" s="394"/>
    </row>
    <row r="105" spans="1:9" ht="15">
      <c r="A105" s="388" t="s">
        <v>665</v>
      </c>
      <c r="B105" s="160" t="s">
        <v>666</v>
      </c>
      <c r="C105" s="285"/>
      <c r="D105" s="285"/>
      <c r="E105" s="285"/>
      <c r="F105" s="285"/>
      <c r="G105" s="285"/>
      <c r="H105" s="357">
        <v>0</v>
      </c>
      <c r="I105" s="198">
        <v>100</v>
      </c>
    </row>
    <row r="106" spans="1:9" ht="15">
      <c r="A106" s="388" t="s">
        <v>184</v>
      </c>
      <c r="B106" s="160" t="s">
        <v>667</v>
      </c>
      <c r="C106" s="285"/>
      <c r="D106" s="285"/>
      <c r="E106" s="285"/>
      <c r="F106" s="285"/>
      <c r="G106" s="285"/>
      <c r="H106" s="357"/>
      <c r="I106" s="393"/>
    </row>
    <row r="107" spans="1:9" ht="15">
      <c r="A107" s="349" t="s">
        <v>191</v>
      </c>
      <c r="B107" s="358"/>
      <c r="C107" s="359"/>
      <c r="D107" s="359"/>
      <c r="E107" s="359"/>
      <c r="F107" s="359"/>
      <c r="G107" s="359"/>
      <c r="H107" s="360"/>
      <c r="I107" s="394"/>
    </row>
    <row r="108" spans="1:9" ht="15">
      <c r="A108" s="388" t="s">
        <v>668</v>
      </c>
      <c r="B108" s="160" t="s">
        <v>669</v>
      </c>
      <c r="C108" s="285"/>
      <c r="D108" s="285">
        <v>7200</v>
      </c>
      <c r="E108" s="285">
        <v>7200</v>
      </c>
      <c r="F108" s="285">
        <v>7200</v>
      </c>
      <c r="G108" s="285">
        <v>7173</v>
      </c>
      <c r="H108" s="357"/>
      <c r="I108" s="393"/>
    </row>
    <row r="109" spans="1:9" ht="15">
      <c r="A109" s="388" t="s">
        <v>260</v>
      </c>
      <c r="B109" s="160" t="s">
        <v>670</v>
      </c>
      <c r="C109" s="285"/>
      <c r="D109" s="285">
        <v>1000</v>
      </c>
      <c r="E109" s="285">
        <v>1000</v>
      </c>
      <c r="F109" s="285">
        <v>1000</v>
      </c>
      <c r="G109" s="285">
        <v>1200</v>
      </c>
      <c r="H109" s="357">
        <v>1200</v>
      </c>
      <c r="I109" s="198">
        <v>3400</v>
      </c>
    </row>
    <row r="110" spans="1:9" ht="15">
      <c r="A110" s="388" t="s">
        <v>643</v>
      </c>
      <c r="B110" s="160" t="s">
        <v>671</v>
      </c>
      <c r="C110" s="285"/>
      <c r="D110" s="285"/>
      <c r="E110" s="285"/>
      <c r="F110" s="285"/>
      <c r="G110" s="285">
        <v>500</v>
      </c>
      <c r="H110" s="357">
        <v>500</v>
      </c>
      <c r="I110" s="198">
        <v>3408</v>
      </c>
    </row>
    <row r="111" spans="1:9" ht="15">
      <c r="A111" s="388" t="s">
        <v>672</v>
      </c>
      <c r="B111" s="160" t="s">
        <v>673</v>
      </c>
      <c r="C111" s="285"/>
      <c r="D111" s="285">
        <v>1600</v>
      </c>
      <c r="E111" s="285">
        <v>1600</v>
      </c>
      <c r="F111" s="285">
        <v>1600</v>
      </c>
      <c r="G111" s="285">
        <v>600</v>
      </c>
      <c r="H111" s="357">
        <v>600</v>
      </c>
      <c r="I111" s="198">
        <v>6000</v>
      </c>
    </row>
    <row r="112" spans="1:9" ht="15">
      <c r="A112" s="388" t="s">
        <v>377</v>
      </c>
      <c r="B112" s="160" t="s">
        <v>674</v>
      </c>
      <c r="C112" s="285"/>
      <c r="D112" s="285"/>
      <c r="E112" s="285"/>
      <c r="F112" s="285"/>
      <c r="G112" s="285"/>
      <c r="H112" s="357"/>
      <c r="I112" s="393"/>
    </row>
    <row r="113" spans="1:9" ht="15">
      <c r="A113" s="386" t="s">
        <v>654</v>
      </c>
      <c r="B113" s="366"/>
      <c r="C113" s="356">
        <f t="shared" ref="C113:I113" si="2">SUM(C94:C112)</f>
        <v>338845</v>
      </c>
      <c r="D113" s="356">
        <f t="shared" si="2"/>
        <v>208481</v>
      </c>
      <c r="E113" s="356">
        <f t="shared" si="2"/>
        <v>277636</v>
      </c>
      <c r="F113" s="356">
        <f t="shared" si="2"/>
        <v>277636</v>
      </c>
      <c r="G113" s="356">
        <f t="shared" si="2"/>
        <v>378737</v>
      </c>
      <c r="H113" s="356">
        <f t="shared" si="2"/>
        <v>371564</v>
      </c>
      <c r="I113" s="391">
        <f t="shared" si="2"/>
        <v>121298</v>
      </c>
    </row>
    <row r="114" spans="1:9" ht="15">
      <c r="A114" s="442" t="s">
        <v>675</v>
      </c>
      <c r="B114" s="443">
        <v>1189</v>
      </c>
      <c r="C114" s="444"/>
      <c r="D114" s="444"/>
      <c r="E114" s="444"/>
      <c r="F114" s="444"/>
      <c r="G114" s="444"/>
      <c r="H114" s="443"/>
      <c r="I114" s="445"/>
    </row>
    <row r="115" spans="1:9" ht="15">
      <c r="A115" s="349" t="s">
        <v>157</v>
      </c>
      <c r="B115" s="367"/>
      <c r="C115" s="150"/>
      <c r="D115" s="689"/>
      <c r="E115" s="689"/>
      <c r="F115" s="150"/>
      <c r="G115" s="150"/>
      <c r="H115" s="367"/>
      <c r="I115" s="395"/>
    </row>
    <row r="116" spans="1:9" ht="15">
      <c r="A116" s="396" t="s">
        <v>364</v>
      </c>
      <c r="B116" s="86" t="s">
        <v>676</v>
      </c>
      <c r="C116" s="149">
        <v>93880</v>
      </c>
      <c r="D116" s="690">
        <v>90410</v>
      </c>
      <c r="E116" s="690">
        <v>116366</v>
      </c>
      <c r="F116" s="149">
        <v>116366</v>
      </c>
      <c r="G116" s="149">
        <v>143756</v>
      </c>
      <c r="H116" s="141">
        <v>143756</v>
      </c>
      <c r="I116" s="198">
        <v>267038</v>
      </c>
    </row>
    <row r="117" spans="1:9" ht="15">
      <c r="A117" s="396" t="s">
        <v>483</v>
      </c>
      <c r="B117" s="86" t="s">
        <v>677</v>
      </c>
      <c r="C117" s="149">
        <v>36000</v>
      </c>
      <c r="D117" s="690">
        <v>35134</v>
      </c>
      <c r="E117" s="690">
        <v>39401</v>
      </c>
      <c r="F117" s="149">
        <v>39401</v>
      </c>
      <c r="G117" s="149">
        <v>63902</v>
      </c>
      <c r="H117" s="141">
        <v>63902</v>
      </c>
      <c r="I117" s="198">
        <v>68000</v>
      </c>
    </row>
    <row r="118" spans="1:9" ht="15">
      <c r="A118" s="349" t="s">
        <v>170</v>
      </c>
      <c r="B118" s="358"/>
      <c r="C118" s="359"/>
      <c r="D118" s="359"/>
      <c r="E118" s="359"/>
      <c r="F118" s="359"/>
      <c r="G118" s="359"/>
      <c r="H118" s="360"/>
      <c r="I118" s="387"/>
    </row>
    <row r="119" spans="1:9" ht="15">
      <c r="A119" s="396" t="s">
        <v>374</v>
      </c>
      <c r="B119" s="160" t="s">
        <v>678</v>
      </c>
      <c r="C119" s="285"/>
      <c r="D119" s="285"/>
      <c r="E119" s="285"/>
      <c r="F119" s="285"/>
      <c r="G119" s="285">
        <v>240</v>
      </c>
      <c r="H119" s="357">
        <v>240</v>
      </c>
      <c r="I119" s="353"/>
    </row>
    <row r="120" spans="1:9" ht="15">
      <c r="A120" s="396" t="s">
        <v>175</v>
      </c>
      <c r="B120" s="160" t="s">
        <v>679</v>
      </c>
      <c r="C120" s="285"/>
      <c r="D120" s="285"/>
      <c r="E120" s="285"/>
      <c r="F120" s="285"/>
      <c r="G120" s="285"/>
      <c r="H120" s="357"/>
      <c r="I120" s="198">
        <v>120</v>
      </c>
    </row>
    <row r="121" spans="1:9" ht="15">
      <c r="A121" s="349" t="s">
        <v>165</v>
      </c>
      <c r="B121" s="85"/>
      <c r="C121" s="150"/>
      <c r="D121" s="689"/>
      <c r="E121" s="689"/>
      <c r="F121" s="150"/>
      <c r="G121" s="150"/>
      <c r="H121" s="142"/>
      <c r="I121" s="352"/>
    </row>
    <row r="122" spans="1:9" ht="15">
      <c r="A122" s="397" t="s">
        <v>660</v>
      </c>
      <c r="B122" s="82" t="s">
        <v>680</v>
      </c>
      <c r="C122" s="151"/>
      <c r="D122" s="691">
        <v>3350</v>
      </c>
      <c r="E122" s="691">
        <v>3350</v>
      </c>
      <c r="F122" s="151">
        <v>3350</v>
      </c>
      <c r="G122" s="151">
        <v>2750</v>
      </c>
      <c r="H122" s="143">
        <v>2750</v>
      </c>
      <c r="I122" s="355"/>
    </row>
    <row r="123" spans="1:9" ht="15">
      <c r="A123" s="349" t="s">
        <v>186</v>
      </c>
      <c r="B123" s="85"/>
      <c r="C123" s="150"/>
      <c r="D123" s="689"/>
      <c r="E123" s="689"/>
      <c r="F123" s="150"/>
      <c r="G123" s="150"/>
      <c r="H123" s="142"/>
      <c r="I123" s="352"/>
    </row>
    <row r="124" spans="1:9" ht="15">
      <c r="A124" s="396" t="s">
        <v>668</v>
      </c>
      <c r="B124" s="86" t="s">
        <v>681</v>
      </c>
      <c r="C124" s="149"/>
      <c r="D124" s="690"/>
      <c r="E124" s="690"/>
      <c r="F124" s="149"/>
      <c r="G124" s="149"/>
      <c r="H124" s="141"/>
      <c r="I124" s="198">
        <v>7173</v>
      </c>
    </row>
    <row r="125" spans="1:9" ht="15">
      <c r="A125" s="396" t="s">
        <v>682</v>
      </c>
      <c r="B125" s="86" t="s">
        <v>683</v>
      </c>
      <c r="C125" s="149">
        <v>2900</v>
      </c>
      <c r="D125" s="690">
        <v>3600</v>
      </c>
      <c r="E125" s="690"/>
      <c r="F125" s="149"/>
      <c r="G125" s="149">
        <v>1900</v>
      </c>
      <c r="H125" s="141">
        <v>1900</v>
      </c>
      <c r="I125" s="198">
        <v>3000</v>
      </c>
    </row>
    <row r="126" spans="1:9" ht="15">
      <c r="A126" s="396" t="s">
        <v>390</v>
      </c>
      <c r="B126" s="86" t="s">
        <v>684</v>
      </c>
      <c r="C126" s="149">
        <v>600</v>
      </c>
      <c r="D126" s="690"/>
      <c r="E126" s="690">
        <v>3600</v>
      </c>
      <c r="F126" s="149">
        <v>3600</v>
      </c>
      <c r="G126" s="149">
        <v>4500</v>
      </c>
      <c r="H126" s="141">
        <v>4500</v>
      </c>
      <c r="I126" s="198">
        <v>2000</v>
      </c>
    </row>
    <row r="127" spans="1:9" ht="15">
      <c r="A127" s="349" t="s">
        <v>181</v>
      </c>
      <c r="B127" s="85"/>
      <c r="C127" s="150"/>
      <c r="D127" s="689"/>
      <c r="E127" s="689"/>
      <c r="F127" s="150"/>
      <c r="G127" s="150"/>
      <c r="H127" s="142"/>
      <c r="I127" s="352"/>
    </row>
    <row r="128" spans="1:9" ht="15">
      <c r="A128" s="396" t="s">
        <v>665</v>
      </c>
      <c r="B128" s="86" t="s">
        <v>685</v>
      </c>
      <c r="C128" s="149">
        <v>2000</v>
      </c>
      <c r="D128" s="690"/>
      <c r="E128" s="690"/>
      <c r="F128" s="149"/>
      <c r="G128" s="149">
        <v>100</v>
      </c>
      <c r="H128" s="141">
        <v>100</v>
      </c>
      <c r="I128" s="353"/>
    </row>
    <row r="129" spans="1:9" ht="15">
      <c r="A129" s="349" t="s">
        <v>191</v>
      </c>
      <c r="B129" s="85"/>
      <c r="C129" s="150"/>
      <c r="D129" s="689"/>
      <c r="E129" s="689"/>
      <c r="F129" s="150"/>
      <c r="G129" s="150"/>
      <c r="H129" s="142"/>
      <c r="I129" s="352"/>
    </row>
    <row r="130" spans="1:9" ht="15">
      <c r="A130" s="396" t="s">
        <v>260</v>
      </c>
      <c r="B130" s="86" t="s">
        <v>686</v>
      </c>
      <c r="C130" s="149">
        <v>1000</v>
      </c>
      <c r="D130" s="690">
        <v>2500</v>
      </c>
      <c r="E130" s="690">
        <v>2500</v>
      </c>
      <c r="F130" s="149">
        <v>2500</v>
      </c>
      <c r="G130" s="149">
        <v>3400</v>
      </c>
      <c r="H130" s="141">
        <v>3400</v>
      </c>
      <c r="I130" s="198">
        <v>1200</v>
      </c>
    </row>
    <row r="131" spans="1:9" ht="15">
      <c r="A131" s="396" t="s">
        <v>643</v>
      </c>
      <c r="B131" s="86" t="s">
        <v>687</v>
      </c>
      <c r="C131" s="149"/>
      <c r="D131" s="690"/>
      <c r="E131" s="690"/>
      <c r="F131" s="149"/>
      <c r="G131" s="149">
        <v>3408</v>
      </c>
      <c r="H131" s="141">
        <v>3408</v>
      </c>
      <c r="I131" s="198">
        <v>500</v>
      </c>
    </row>
    <row r="132" spans="1:9" ht="15">
      <c r="A132" s="396" t="s">
        <v>672</v>
      </c>
      <c r="B132" s="86" t="s">
        <v>688</v>
      </c>
      <c r="C132" s="149">
        <v>5000</v>
      </c>
      <c r="D132" s="690">
        <v>5000</v>
      </c>
      <c r="E132" s="690">
        <v>5000</v>
      </c>
      <c r="F132" s="149">
        <v>3000</v>
      </c>
      <c r="G132" s="149">
        <v>4500</v>
      </c>
      <c r="H132" s="141">
        <v>4500</v>
      </c>
      <c r="I132" s="198">
        <v>600</v>
      </c>
    </row>
    <row r="133" spans="1:9" ht="15">
      <c r="A133" s="396" t="s">
        <v>377</v>
      </c>
      <c r="B133" s="86" t="s">
        <v>689</v>
      </c>
      <c r="C133" s="149"/>
      <c r="D133" s="690">
        <v>500</v>
      </c>
      <c r="E133" s="690">
        <v>500</v>
      </c>
      <c r="F133" s="149">
        <v>500</v>
      </c>
      <c r="G133" s="149"/>
      <c r="H133" s="141"/>
      <c r="I133" s="353"/>
    </row>
    <row r="134" spans="1:9" ht="15">
      <c r="A134" s="386" t="s">
        <v>654</v>
      </c>
      <c r="B134" s="368"/>
      <c r="C134" s="369">
        <f t="shared" ref="C134:I134" si="3">SUM(C116:C133)</f>
        <v>141380</v>
      </c>
      <c r="D134" s="369">
        <f t="shared" si="3"/>
        <v>140494</v>
      </c>
      <c r="E134" s="369">
        <f t="shared" si="3"/>
        <v>170717</v>
      </c>
      <c r="F134" s="369">
        <f t="shared" si="3"/>
        <v>168717</v>
      </c>
      <c r="G134" s="369">
        <f t="shared" si="3"/>
        <v>228456</v>
      </c>
      <c r="H134" s="369">
        <f t="shared" si="3"/>
        <v>228456</v>
      </c>
      <c r="I134" s="391">
        <f t="shared" si="3"/>
        <v>349631</v>
      </c>
    </row>
    <row r="135" spans="1:9" ht="15">
      <c r="A135" s="442" t="s">
        <v>690</v>
      </c>
      <c r="B135" s="443">
        <v>1189</v>
      </c>
      <c r="C135" s="444"/>
      <c r="D135" s="444"/>
      <c r="E135" s="444"/>
      <c r="F135" s="444"/>
      <c r="G135" s="444"/>
      <c r="H135" s="443"/>
      <c r="I135" s="445"/>
    </row>
    <row r="136" spans="1:9" ht="15" hidden="1">
      <c r="A136" s="349" t="s">
        <v>157</v>
      </c>
      <c r="B136" s="367"/>
      <c r="C136" s="150"/>
      <c r="D136" s="689"/>
      <c r="E136" s="689"/>
      <c r="F136" s="150"/>
      <c r="G136" s="150"/>
      <c r="H136" s="367"/>
      <c r="I136" s="395"/>
    </row>
    <row r="137" spans="1:9" ht="15" hidden="1">
      <c r="A137" s="396" t="s">
        <v>362</v>
      </c>
      <c r="B137" s="86" t="s">
        <v>691</v>
      </c>
      <c r="C137" s="149"/>
      <c r="D137" s="690"/>
      <c r="E137" s="690"/>
      <c r="F137" s="149"/>
      <c r="G137" s="149"/>
      <c r="H137" s="141"/>
      <c r="I137" s="198">
        <v>24000</v>
      </c>
    </row>
    <row r="138" spans="1:9" ht="15" hidden="1">
      <c r="A138" s="396" t="s">
        <v>483</v>
      </c>
      <c r="B138" s="86" t="s">
        <v>692</v>
      </c>
      <c r="C138" s="149"/>
      <c r="D138" s="690"/>
      <c r="E138" s="690"/>
      <c r="F138" s="149"/>
      <c r="G138" s="149"/>
      <c r="H138" s="141"/>
      <c r="I138" s="198">
        <v>8884</v>
      </c>
    </row>
    <row r="139" spans="1:9" ht="15" hidden="1">
      <c r="A139" s="349" t="s">
        <v>165</v>
      </c>
      <c r="B139" s="85"/>
      <c r="C139" s="150"/>
      <c r="D139" s="689"/>
      <c r="E139" s="689"/>
      <c r="F139" s="150"/>
      <c r="G139" s="150"/>
      <c r="H139" s="142"/>
      <c r="I139" s="352"/>
    </row>
    <row r="140" spans="1:9" ht="15" hidden="1">
      <c r="A140" s="396" t="s">
        <v>660</v>
      </c>
      <c r="B140" s="86" t="s">
        <v>693</v>
      </c>
      <c r="C140" s="149"/>
      <c r="D140" s="690"/>
      <c r="E140" s="690"/>
      <c r="F140" s="149"/>
      <c r="G140" s="149"/>
      <c r="H140" s="141"/>
      <c r="I140" s="198">
        <v>750</v>
      </c>
    </row>
    <row r="141" spans="1:9" ht="15" hidden="1">
      <c r="A141" s="398" t="s">
        <v>694</v>
      </c>
      <c r="B141" s="86"/>
      <c r="C141" s="149"/>
      <c r="D141" s="690"/>
      <c r="E141" s="690"/>
      <c r="F141" s="149"/>
      <c r="G141" s="149"/>
      <c r="H141" s="141"/>
      <c r="I141" s="353"/>
    </row>
    <row r="142" spans="1:9" ht="15" hidden="1">
      <c r="A142" s="396" t="s">
        <v>374</v>
      </c>
      <c r="B142" s="86" t="s">
        <v>695</v>
      </c>
      <c r="C142" s="149"/>
      <c r="D142" s="690"/>
      <c r="E142" s="690"/>
      <c r="F142" s="149"/>
      <c r="G142" s="149"/>
      <c r="H142" s="141"/>
      <c r="I142" s="353"/>
    </row>
    <row r="143" spans="1:9" ht="15" hidden="1">
      <c r="A143" s="349" t="s">
        <v>609</v>
      </c>
      <c r="B143" s="85"/>
      <c r="C143" s="150"/>
      <c r="D143" s="689"/>
      <c r="E143" s="689"/>
      <c r="F143" s="150"/>
      <c r="G143" s="150"/>
      <c r="H143" s="142"/>
      <c r="I143" s="352"/>
    </row>
    <row r="144" spans="1:9" ht="15" hidden="1">
      <c r="A144" s="396" t="s">
        <v>511</v>
      </c>
      <c r="B144" s="86" t="s">
        <v>696</v>
      </c>
      <c r="C144" s="149"/>
      <c r="D144" s="690"/>
      <c r="E144" s="690"/>
      <c r="F144" s="149"/>
      <c r="G144" s="149"/>
      <c r="H144" s="141"/>
      <c r="I144" s="353"/>
    </row>
    <row r="145" spans="1:9" ht="15" hidden="1">
      <c r="A145" s="396" t="s">
        <v>566</v>
      </c>
      <c r="B145" s="86" t="s">
        <v>697</v>
      </c>
      <c r="C145" s="149"/>
      <c r="D145" s="690"/>
      <c r="E145" s="690"/>
      <c r="F145" s="149"/>
      <c r="G145" s="149"/>
      <c r="H145" s="141"/>
      <c r="I145" s="198">
        <v>300</v>
      </c>
    </row>
    <row r="146" spans="1:9" ht="15" hidden="1">
      <c r="A146" s="396" t="s">
        <v>663</v>
      </c>
      <c r="B146" s="86" t="s">
        <v>698</v>
      </c>
      <c r="C146" s="149"/>
      <c r="D146" s="690"/>
      <c r="E146" s="690"/>
      <c r="F146" s="149"/>
      <c r="G146" s="149"/>
      <c r="H146" s="141"/>
      <c r="I146" s="198">
        <v>1000</v>
      </c>
    </row>
    <row r="147" spans="1:9" ht="15">
      <c r="A147" s="349" t="s">
        <v>191</v>
      </c>
      <c r="B147" s="85"/>
      <c r="C147" s="150"/>
      <c r="D147" s="689"/>
      <c r="E147" s="689"/>
      <c r="F147" s="150"/>
      <c r="G147" s="150"/>
      <c r="H147" s="142"/>
      <c r="I147" s="352"/>
    </row>
    <row r="148" spans="1:9" ht="15">
      <c r="A148" s="396" t="s">
        <v>699</v>
      </c>
      <c r="B148" s="86" t="s">
        <v>700</v>
      </c>
      <c r="C148" s="149"/>
      <c r="D148" s="690"/>
      <c r="E148" s="690"/>
      <c r="F148" s="149"/>
      <c r="G148" s="149"/>
      <c r="H148" s="141"/>
      <c r="I148" s="353"/>
    </row>
    <row r="149" spans="1:9" ht="15">
      <c r="A149" s="396" t="s">
        <v>260</v>
      </c>
      <c r="B149" s="86" t="s">
        <v>701</v>
      </c>
      <c r="C149" s="149">
        <v>500</v>
      </c>
      <c r="D149" s="690">
        <v>500</v>
      </c>
      <c r="E149" s="690">
        <v>500</v>
      </c>
      <c r="F149" s="149">
        <v>500</v>
      </c>
      <c r="G149" s="149">
        <v>2000</v>
      </c>
      <c r="H149" s="141">
        <v>2000</v>
      </c>
      <c r="I149" s="198">
        <v>2400</v>
      </c>
    </row>
    <row r="150" spans="1:9" ht="15">
      <c r="A150" s="396" t="s">
        <v>643</v>
      </c>
      <c r="B150" s="86" t="s">
        <v>702</v>
      </c>
      <c r="C150" s="149"/>
      <c r="D150" s="690"/>
      <c r="E150" s="690"/>
      <c r="F150" s="149"/>
      <c r="G150" s="149">
        <v>1000</v>
      </c>
      <c r="H150" s="141">
        <v>1000</v>
      </c>
      <c r="I150" s="198">
        <v>1000</v>
      </c>
    </row>
    <row r="151" spans="1:9" ht="15">
      <c r="A151" s="396" t="s">
        <v>703</v>
      </c>
      <c r="B151" s="86" t="s">
        <v>704</v>
      </c>
      <c r="C151" s="149">
        <v>1600</v>
      </c>
      <c r="D151" s="690">
        <v>1400</v>
      </c>
      <c r="E151" s="690">
        <v>1400</v>
      </c>
      <c r="F151" s="149">
        <v>1400</v>
      </c>
      <c r="G151" s="149">
        <v>2400</v>
      </c>
      <c r="H151" s="141">
        <v>2400</v>
      </c>
      <c r="I151" s="198">
        <v>2100</v>
      </c>
    </row>
    <row r="152" spans="1:9" ht="15">
      <c r="A152" s="386" t="s">
        <v>654</v>
      </c>
      <c r="B152" s="368"/>
      <c r="C152" s="369">
        <f t="shared" ref="C152:H152" si="4">SUM(C149:C151)</f>
        <v>2100</v>
      </c>
      <c r="D152" s="369">
        <f t="shared" si="4"/>
        <v>1900</v>
      </c>
      <c r="E152" s="369">
        <f t="shared" si="4"/>
        <v>1900</v>
      </c>
      <c r="F152" s="369">
        <f t="shared" si="4"/>
        <v>1900</v>
      </c>
      <c r="G152" s="369">
        <f t="shared" si="4"/>
        <v>5400</v>
      </c>
      <c r="H152" s="369">
        <f t="shared" si="4"/>
        <v>5400</v>
      </c>
      <c r="I152" s="391">
        <f>SUM(I137:I151)</f>
        <v>40434</v>
      </c>
    </row>
    <row r="153" spans="1:9" ht="15">
      <c r="A153" s="434" t="s">
        <v>705</v>
      </c>
      <c r="B153" s="439"/>
      <c r="C153" s="450">
        <f t="shared" ref="C153:H153" si="5">SUM(,C134,C113,C91,C152)</f>
        <v>875035</v>
      </c>
      <c r="D153" s="450">
        <f t="shared" si="5"/>
        <v>731316</v>
      </c>
      <c r="E153" s="450">
        <f t="shared" si="5"/>
        <v>830694</v>
      </c>
      <c r="F153" s="450">
        <f t="shared" si="5"/>
        <v>905482</v>
      </c>
      <c r="G153" s="450">
        <f t="shared" si="5"/>
        <v>855627</v>
      </c>
      <c r="H153" s="450">
        <f t="shared" si="5"/>
        <v>844774</v>
      </c>
      <c r="I153" s="451">
        <f>SUM(I152,I134,I113,I91)</f>
        <v>743057.7</v>
      </c>
    </row>
    <row r="154" spans="1:9" ht="15">
      <c r="A154" s="446" t="s">
        <v>51</v>
      </c>
      <c r="B154" s="447">
        <v>1077</v>
      </c>
      <c r="C154" s="448"/>
      <c r="D154" s="448"/>
      <c r="E154" s="448"/>
      <c r="F154" s="448"/>
      <c r="G154" s="448"/>
      <c r="H154" s="447"/>
      <c r="I154" s="449"/>
    </row>
    <row r="155" spans="1:9" ht="15">
      <c r="A155" s="349" t="s">
        <v>157</v>
      </c>
      <c r="B155" s="350"/>
      <c r="C155" s="351"/>
      <c r="D155" s="351"/>
      <c r="E155" s="351"/>
      <c r="F155" s="351"/>
      <c r="G155" s="351"/>
      <c r="H155" s="350"/>
      <c r="I155" s="400"/>
    </row>
    <row r="156" spans="1:9" ht="15">
      <c r="A156" s="401" t="s">
        <v>501</v>
      </c>
      <c r="B156" s="382" t="s">
        <v>706</v>
      </c>
      <c r="C156" s="383">
        <v>87001</v>
      </c>
      <c r="D156" s="383">
        <v>85905</v>
      </c>
      <c r="E156" s="383">
        <v>96778</v>
      </c>
      <c r="F156" s="383">
        <v>72532</v>
      </c>
      <c r="G156" s="383">
        <v>65816</v>
      </c>
      <c r="H156" s="384">
        <v>65816</v>
      </c>
      <c r="I156" s="402">
        <v>55731.48</v>
      </c>
    </row>
    <row r="157" spans="1:9" ht="15">
      <c r="A157" s="401" t="s">
        <v>483</v>
      </c>
      <c r="B157" s="382" t="s">
        <v>707</v>
      </c>
      <c r="C157" s="383">
        <v>9092</v>
      </c>
      <c r="D157" s="383">
        <v>8735</v>
      </c>
      <c r="E157" s="383">
        <v>10113</v>
      </c>
      <c r="F157" s="383">
        <v>7580</v>
      </c>
      <c r="G157" s="383">
        <v>13163</v>
      </c>
      <c r="H157" s="384">
        <v>13163</v>
      </c>
      <c r="I157" s="403">
        <v>7848</v>
      </c>
    </row>
    <row r="158" spans="1:9" ht="15">
      <c r="A158" s="349" t="s">
        <v>165</v>
      </c>
      <c r="B158" s="370"/>
      <c r="C158" s="371"/>
      <c r="D158" s="371"/>
      <c r="E158" s="371"/>
      <c r="F158" s="371"/>
      <c r="G158" s="371"/>
      <c r="H158" s="372"/>
      <c r="I158" s="404"/>
    </row>
    <row r="159" spans="1:9" ht="15">
      <c r="A159" s="401" t="s">
        <v>390</v>
      </c>
      <c r="B159" s="382" t="s">
        <v>708</v>
      </c>
      <c r="C159" s="383">
        <v>3600</v>
      </c>
      <c r="D159" s="383">
        <v>4352</v>
      </c>
      <c r="E159" s="383">
        <v>3600</v>
      </c>
      <c r="F159" s="383">
        <v>3600</v>
      </c>
      <c r="G159" s="383">
        <v>4500</v>
      </c>
      <c r="H159" s="384">
        <v>4500</v>
      </c>
      <c r="I159" s="405">
        <v>2500</v>
      </c>
    </row>
    <row r="160" spans="1:9" ht="15">
      <c r="A160" s="401" t="s">
        <v>568</v>
      </c>
      <c r="B160" s="382" t="s">
        <v>709</v>
      </c>
      <c r="C160" s="383">
        <v>360</v>
      </c>
      <c r="D160" s="383"/>
      <c r="E160" s="383"/>
      <c r="F160" s="383"/>
      <c r="G160" s="383"/>
      <c r="H160" s="384"/>
      <c r="I160" s="405"/>
    </row>
    <row r="161" spans="1:9" ht="15">
      <c r="A161" s="349" t="s">
        <v>694</v>
      </c>
      <c r="B161" s="370"/>
      <c r="C161" s="371"/>
      <c r="D161" s="371"/>
      <c r="E161" s="371"/>
      <c r="F161" s="371"/>
      <c r="G161" s="371"/>
      <c r="H161" s="372"/>
      <c r="I161" s="404"/>
    </row>
    <row r="162" spans="1:9" ht="15">
      <c r="A162" s="401" t="s">
        <v>171</v>
      </c>
      <c r="B162" s="382" t="s">
        <v>710</v>
      </c>
      <c r="C162" s="383">
        <v>456</v>
      </c>
      <c r="D162" s="383">
        <v>469</v>
      </c>
      <c r="E162" s="383">
        <v>480</v>
      </c>
      <c r="F162" s="383">
        <v>480</v>
      </c>
      <c r="G162" s="383">
        <v>600</v>
      </c>
      <c r="H162" s="384">
        <v>500</v>
      </c>
      <c r="I162" s="403">
        <v>500</v>
      </c>
    </row>
    <row r="163" spans="1:9" ht="15">
      <c r="A163" s="401" t="s">
        <v>374</v>
      </c>
      <c r="B163" s="382" t="s">
        <v>711</v>
      </c>
      <c r="C163" s="383">
        <v>150</v>
      </c>
      <c r="D163" s="383">
        <v>62</v>
      </c>
      <c r="E163" s="383"/>
      <c r="F163" s="383"/>
      <c r="G163" s="383">
        <v>120</v>
      </c>
      <c r="H163" s="384"/>
      <c r="I163" s="406"/>
    </row>
    <row r="164" spans="1:9" ht="15">
      <c r="A164" s="401" t="s">
        <v>712</v>
      </c>
      <c r="B164" s="382" t="s">
        <v>713</v>
      </c>
      <c r="C164" s="383">
        <v>780</v>
      </c>
      <c r="D164" s="383">
        <v>683</v>
      </c>
      <c r="E164" s="383">
        <v>780</v>
      </c>
      <c r="F164" s="383">
        <v>780</v>
      </c>
      <c r="G164" s="383">
        <v>810</v>
      </c>
      <c r="H164" s="384">
        <v>810</v>
      </c>
      <c r="I164" s="406"/>
    </row>
    <row r="165" spans="1:9" ht="15">
      <c r="A165" s="401" t="s">
        <v>430</v>
      </c>
      <c r="B165" s="382" t="s">
        <v>714</v>
      </c>
      <c r="C165" s="383">
        <v>0</v>
      </c>
      <c r="D165" s="383">
        <v>38</v>
      </c>
      <c r="E165" s="383"/>
      <c r="F165" s="383"/>
      <c r="G165" s="383">
        <v>1000</v>
      </c>
      <c r="H165" s="384">
        <v>1000</v>
      </c>
      <c r="I165" s="406"/>
    </row>
    <row r="166" spans="1:9" ht="15">
      <c r="A166" s="401" t="s">
        <v>715</v>
      </c>
      <c r="B166" s="382" t="s">
        <v>716</v>
      </c>
      <c r="C166" s="383">
        <v>0</v>
      </c>
      <c r="D166" s="383"/>
      <c r="E166" s="383">
        <v>50</v>
      </c>
      <c r="F166" s="383">
        <v>50</v>
      </c>
      <c r="G166" s="383"/>
      <c r="H166" s="384"/>
      <c r="I166" s="406"/>
    </row>
    <row r="167" spans="1:9" ht="15">
      <c r="A167" s="401" t="s">
        <v>379</v>
      </c>
      <c r="B167" s="382" t="s">
        <v>717</v>
      </c>
      <c r="C167" s="383">
        <v>720</v>
      </c>
      <c r="D167" s="383">
        <v>617</v>
      </c>
      <c r="E167" s="383">
        <v>240</v>
      </c>
      <c r="F167" s="383">
        <v>240</v>
      </c>
      <c r="G167" s="383">
        <v>100</v>
      </c>
      <c r="H167" s="384">
        <v>0</v>
      </c>
      <c r="I167" s="403">
        <v>100</v>
      </c>
    </row>
    <row r="168" spans="1:9" ht="15">
      <c r="A168" s="349" t="s">
        <v>181</v>
      </c>
      <c r="B168" s="370"/>
      <c r="C168" s="371"/>
      <c r="D168" s="371"/>
      <c r="E168" s="371"/>
      <c r="F168" s="371"/>
      <c r="G168" s="371"/>
      <c r="H168" s="372"/>
      <c r="I168" s="404"/>
    </row>
    <row r="169" spans="1:9" ht="15">
      <c r="A169" s="388" t="s">
        <v>401</v>
      </c>
      <c r="B169" s="382" t="s">
        <v>718</v>
      </c>
      <c r="C169" s="383">
        <v>1543</v>
      </c>
      <c r="D169" s="383">
        <v>1442</v>
      </c>
      <c r="E169" s="383">
        <v>1286</v>
      </c>
      <c r="F169" s="383">
        <v>1286</v>
      </c>
      <c r="G169" s="383"/>
      <c r="H169" s="384"/>
      <c r="I169" s="406"/>
    </row>
    <row r="170" spans="1:9" ht="15">
      <c r="A170" s="401" t="s">
        <v>665</v>
      </c>
      <c r="B170" s="382" t="s">
        <v>719</v>
      </c>
      <c r="C170" s="383">
        <v>6394</v>
      </c>
      <c r="D170" s="383">
        <v>7866</v>
      </c>
      <c r="E170" s="383">
        <v>9500</v>
      </c>
      <c r="F170" s="383">
        <v>4500</v>
      </c>
      <c r="G170" s="383">
        <v>6000</v>
      </c>
      <c r="H170" s="384">
        <v>6000</v>
      </c>
      <c r="I170" s="403">
        <v>3000</v>
      </c>
    </row>
    <row r="171" spans="1:9" ht="15">
      <c r="A171" s="349" t="s">
        <v>186</v>
      </c>
      <c r="B171" s="370"/>
      <c r="C171" s="371"/>
      <c r="D171" s="371"/>
      <c r="E171" s="371"/>
      <c r="F171" s="371"/>
      <c r="G171" s="371"/>
      <c r="H171" s="372"/>
      <c r="I171" s="407"/>
    </row>
    <row r="172" spans="1:9" ht="15">
      <c r="A172" s="401" t="s">
        <v>511</v>
      </c>
      <c r="B172" s="382" t="s">
        <v>720</v>
      </c>
      <c r="C172" s="383">
        <v>0</v>
      </c>
      <c r="D172" s="383">
        <v>2266</v>
      </c>
      <c r="E172" s="383">
        <v>3639</v>
      </c>
      <c r="F172" s="383"/>
      <c r="G172" s="383">
        <v>750</v>
      </c>
      <c r="H172" s="384">
        <v>750</v>
      </c>
      <c r="I172" s="403">
        <v>750</v>
      </c>
    </row>
    <row r="173" spans="1:9" ht="15">
      <c r="A173" s="401" t="s">
        <v>721</v>
      </c>
      <c r="B173" s="382" t="s">
        <v>720</v>
      </c>
      <c r="C173" s="383"/>
      <c r="D173" s="383"/>
      <c r="E173" s="383"/>
      <c r="F173" s="383"/>
      <c r="G173" s="383"/>
      <c r="H173" s="384"/>
      <c r="I173" s="403"/>
    </row>
    <row r="174" spans="1:9" ht="15">
      <c r="A174" s="349" t="s">
        <v>191</v>
      </c>
      <c r="B174" s="370"/>
      <c r="C174" s="371"/>
      <c r="D174" s="371"/>
      <c r="E174" s="371"/>
      <c r="F174" s="371"/>
      <c r="G174" s="371"/>
      <c r="H174" s="372"/>
      <c r="I174" s="404"/>
    </row>
    <row r="175" spans="1:9" ht="15">
      <c r="A175" s="401" t="s">
        <v>722</v>
      </c>
      <c r="B175" s="382" t="s">
        <v>723</v>
      </c>
      <c r="C175" s="383">
        <v>1200</v>
      </c>
      <c r="D175" s="383">
        <v>855</v>
      </c>
      <c r="E175" s="383">
        <v>1335</v>
      </c>
      <c r="F175" s="383">
        <v>1335</v>
      </c>
      <c r="G175" s="383"/>
      <c r="H175" s="384"/>
      <c r="I175" s="403"/>
    </row>
    <row r="176" spans="1:9" ht="15">
      <c r="A176" s="401" t="s">
        <v>724</v>
      </c>
      <c r="B176" s="382" t="s">
        <v>725</v>
      </c>
      <c r="C176" s="383">
        <v>525000</v>
      </c>
      <c r="D176" s="383">
        <f>557507</f>
        <v>557507</v>
      </c>
      <c r="E176" s="383">
        <f>557507</f>
        <v>557507</v>
      </c>
      <c r="F176" s="383">
        <v>500500</v>
      </c>
      <c r="G176" s="383">
        <v>448999</v>
      </c>
      <c r="H176" s="384">
        <v>448999</v>
      </c>
      <c r="I176" s="403">
        <v>250000</v>
      </c>
    </row>
    <row r="177" spans="1:9" ht="15">
      <c r="A177" s="401" t="s">
        <v>260</v>
      </c>
      <c r="B177" s="382" t="s">
        <v>726</v>
      </c>
      <c r="C177" s="383"/>
      <c r="D177" s="383"/>
      <c r="E177" s="383"/>
      <c r="F177" s="383"/>
      <c r="G177" s="383">
        <v>500</v>
      </c>
      <c r="H177" s="384">
        <v>500</v>
      </c>
      <c r="I177" s="406"/>
    </row>
    <row r="178" spans="1:9" ht="15">
      <c r="A178" s="401" t="s">
        <v>727</v>
      </c>
      <c r="B178" s="385" t="s">
        <v>728</v>
      </c>
      <c r="C178" s="383"/>
      <c r="D178" s="383"/>
      <c r="E178" s="383"/>
      <c r="F178" s="383"/>
      <c r="G178" s="383">
        <v>5000</v>
      </c>
      <c r="H178" s="384">
        <v>5000</v>
      </c>
      <c r="I178" s="408"/>
    </row>
    <row r="179" spans="1:9" ht="15">
      <c r="A179" s="401" t="s">
        <v>253</v>
      </c>
      <c r="B179" s="385" t="s">
        <v>729</v>
      </c>
      <c r="C179" s="383">
        <v>2000</v>
      </c>
      <c r="D179" s="383">
        <v>608</v>
      </c>
      <c r="E179" s="383">
        <v>1500</v>
      </c>
      <c r="F179" s="383">
        <v>1500</v>
      </c>
      <c r="G179" s="383"/>
      <c r="H179" s="384"/>
      <c r="I179" s="408"/>
    </row>
    <row r="180" spans="1:9" ht="15">
      <c r="A180" s="401" t="s">
        <v>730</v>
      </c>
      <c r="B180" s="385" t="s">
        <v>731</v>
      </c>
      <c r="C180" s="383">
        <v>6875</v>
      </c>
      <c r="D180" s="383">
        <v>4053</v>
      </c>
      <c r="E180" s="383">
        <v>5200</v>
      </c>
      <c r="F180" s="383">
        <v>5200</v>
      </c>
      <c r="G180" s="383"/>
      <c r="H180" s="384"/>
      <c r="I180" s="408"/>
    </row>
    <row r="181" spans="1:9" ht="15">
      <c r="A181" s="401" t="s">
        <v>613</v>
      </c>
      <c r="B181" s="382" t="s">
        <v>732</v>
      </c>
      <c r="C181" s="383">
        <v>5000</v>
      </c>
      <c r="D181" s="383">
        <v>4134</v>
      </c>
      <c r="E181" s="383">
        <v>1200</v>
      </c>
      <c r="F181" s="383"/>
      <c r="G181" s="383">
        <v>10000</v>
      </c>
      <c r="H181" s="384">
        <v>10000</v>
      </c>
      <c r="I181" s="403">
        <v>2000</v>
      </c>
    </row>
    <row r="182" spans="1:9" ht="15">
      <c r="A182" s="409" t="s">
        <v>733</v>
      </c>
      <c r="B182" s="373"/>
      <c r="C182" s="374"/>
      <c r="D182" s="374"/>
      <c r="E182" s="374"/>
      <c r="F182" s="374"/>
      <c r="G182" s="374"/>
      <c r="H182" s="375"/>
      <c r="I182" s="410"/>
    </row>
    <row r="183" spans="1:9" ht="15">
      <c r="A183" s="401" t="s">
        <v>586</v>
      </c>
      <c r="B183" s="382" t="s">
        <v>734</v>
      </c>
      <c r="C183" s="383">
        <v>-19800</v>
      </c>
      <c r="D183" s="383">
        <v>-9801</v>
      </c>
      <c r="E183" s="383"/>
      <c r="F183" s="383"/>
      <c r="G183" s="383"/>
      <c r="H183" s="384"/>
      <c r="I183" s="406"/>
    </row>
    <row r="184" spans="1:9" ht="15">
      <c r="A184" s="401" t="s">
        <v>735</v>
      </c>
      <c r="B184" s="382" t="s">
        <v>736</v>
      </c>
      <c r="C184" s="383">
        <v>-504000</v>
      </c>
      <c r="D184" s="383">
        <v>-513418</v>
      </c>
      <c r="E184" s="383">
        <f>-507000-19800</f>
        <v>-526800</v>
      </c>
      <c r="F184" s="383">
        <f>-505000-19800</f>
        <v>-524800</v>
      </c>
      <c r="G184" s="383">
        <f>-372122-50000</f>
        <v>-422122</v>
      </c>
      <c r="H184" s="384">
        <v>-372122</v>
      </c>
      <c r="I184" s="411">
        <v>-198411.96</v>
      </c>
    </row>
    <row r="185" spans="1:9" ht="15">
      <c r="A185" s="401" t="s">
        <v>737</v>
      </c>
      <c r="B185" s="382" t="s">
        <v>738</v>
      </c>
      <c r="C185" s="383">
        <v>-2500</v>
      </c>
      <c r="D185" s="383">
        <v>-7622</v>
      </c>
      <c r="E185" s="383"/>
      <c r="F185" s="383"/>
      <c r="G185" s="383"/>
      <c r="H185" s="384"/>
      <c r="I185" s="411"/>
    </row>
    <row r="186" spans="1:9" ht="15">
      <c r="A186" s="386" t="s">
        <v>739</v>
      </c>
      <c r="B186" s="361"/>
      <c r="C186" s="356">
        <f>SUM(C156:C185)</f>
        <v>123871</v>
      </c>
      <c r="D186" s="356">
        <f>SUM(D156:D185)</f>
        <v>148751</v>
      </c>
      <c r="E186" s="356">
        <f>SUM(E156:E184)</f>
        <v>166408</v>
      </c>
      <c r="F186" s="356">
        <f>SUM(F156:F184)</f>
        <v>74783</v>
      </c>
      <c r="G186" s="356">
        <f>SUM(G156:G184)</f>
        <v>135236</v>
      </c>
      <c r="H186" s="356">
        <f>SUM(H156:H184)</f>
        <v>184916</v>
      </c>
      <c r="I186" s="391">
        <f>SUM(I155:I184)</f>
        <v>124017.51999999999</v>
      </c>
    </row>
    <row r="187" spans="1:9" ht="15">
      <c r="A187" s="434" t="s">
        <v>53</v>
      </c>
      <c r="B187" s="435" t="s">
        <v>740</v>
      </c>
      <c r="C187" s="436"/>
      <c r="D187" s="436"/>
      <c r="E187" s="436"/>
      <c r="F187" s="436"/>
      <c r="G187" s="436"/>
      <c r="H187" s="435"/>
      <c r="I187" s="437"/>
    </row>
    <row r="188" spans="1:9" ht="15">
      <c r="A188" s="349" t="s">
        <v>157</v>
      </c>
      <c r="B188" s="358"/>
      <c r="C188" s="359"/>
      <c r="D188" s="359"/>
      <c r="E188" s="359"/>
      <c r="F188" s="359"/>
      <c r="G188" s="359"/>
      <c r="H188" s="358"/>
      <c r="I188" s="387"/>
    </row>
    <row r="189" spans="1:9" ht="15">
      <c r="A189" s="396" t="s">
        <v>741</v>
      </c>
      <c r="B189" s="86" t="s">
        <v>742</v>
      </c>
      <c r="C189" s="149">
        <v>23520</v>
      </c>
      <c r="D189" s="690">
        <v>22628</v>
      </c>
      <c r="E189" s="690">
        <v>22628</v>
      </c>
      <c r="F189" s="149">
        <v>22628</v>
      </c>
      <c r="G189" s="149">
        <v>21294</v>
      </c>
      <c r="H189" s="141">
        <v>21294</v>
      </c>
      <c r="I189" s="412">
        <v>20823</v>
      </c>
    </row>
    <row r="190" spans="1:9" ht="15">
      <c r="A190" s="396" t="s">
        <v>743</v>
      </c>
      <c r="B190" s="86" t="s">
        <v>744</v>
      </c>
      <c r="C190" s="149">
        <v>114550</v>
      </c>
      <c r="D190" s="690">
        <v>106377</v>
      </c>
      <c r="E190" s="690">
        <v>106377</v>
      </c>
      <c r="F190" s="149">
        <v>106377</v>
      </c>
      <c r="G190" s="149">
        <v>119324</v>
      </c>
      <c r="H190" s="141">
        <v>123890</v>
      </c>
      <c r="I190" s="412">
        <v>136324.72</v>
      </c>
    </row>
    <row r="191" spans="1:9" ht="15">
      <c r="A191" s="396" t="s">
        <v>483</v>
      </c>
      <c r="B191" s="86" t="s">
        <v>745</v>
      </c>
      <c r="C191" s="149">
        <v>14428</v>
      </c>
      <c r="D191" s="690">
        <v>18108</v>
      </c>
      <c r="E191" s="690">
        <v>18108</v>
      </c>
      <c r="F191" s="149">
        <v>18108</v>
      </c>
      <c r="G191" s="149">
        <v>29037</v>
      </c>
      <c r="H191" s="141">
        <v>29037</v>
      </c>
      <c r="I191" s="412">
        <v>26421</v>
      </c>
    </row>
    <row r="192" spans="1:9" ht="15">
      <c r="A192" s="349" t="s">
        <v>165</v>
      </c>
      <c r="B192" s="85"/>
      <c r="C192" s="150"/>
      <c r="D192" s="689"/>
      <c r="E192" s="689"/>
      <c r="F192" s="150"/>
      <c r="G192" s="150"/>
      <c r="H192" s="142"/>
      <c r="I192" s="352"/>
    </row>
    <row r="193" spans="1:9" ht="15">
      <c r="A193" s="397" t="s">
        <v>568</v>
      </c>
      <c r="B193" s="86" t="s">
        <v>746</v>
      </c>
      <c r="C193" s="149">
        <v>630</v>
      </c>
      <c r="D193" s="690"/>
      <c r="E193" s="690"/>
      <c r="F193" s="149"/>
      <c r="G193" s="149"/>
      <c r="H193" s="141"/>
      <c r="I193" s="353"/>
    </row>
    <row r="194" spans="1:9" ht="15">
      <c r="A194" s="349" t="s">
        <v>170</v>
      </c>
      <c r="B194" s="85"/>
      <c r="C194" s="150"/>
      <c r="D194" s="689"/>
      <c r="E194" s="689"/>
      <c r="F194" s="150"/>
      <c r="G194" s="150"/>
      <c r="H194" s="142"/>
      <c r="I194" s="352"/>
    </row>
    <row r="195" spans="1:9" ht="15">
      <c r="A195" s="396" t="s">
        <v>171</v>
      </c>
      <c r="B195" s="86" t="s">
        <v>747</v>
      </c>
      <c r="C195" s="149">
        <v>960</v>
      </c>
      <c r="D195" s="690">
        <v>960</v>
      </c>
      <c r="E195" s="690">
        <v>960</v>
      </c>
      <c r="F195" s="149">
        <v>960</v>
      </c>
      <c r="G195" s="149">
        <v>1500</v>
      </c>
      <c r="H195" s="141">
        <v>1500</v>
      </c>
      <c r="I195" s="412">
        <v>1500</v>
      </c>
    </row>
    <row r="196" spans="1:9" ht="15">
      <c r="A196" s="396" t="s">
        <v>748</v>
      </c>
      <c r="B196" s="86" t="s">
        <v>749</v>
      </c>
      <c r="C196" s="149"/>
      <c r="D196" s="690"/>
      <c r="E196" s="690"/>
      <c r="F196" s="149"/>
      <c r="G196" s="149"/>
      <c r="H196" s="141"/>
      <c r="I196" s="353"/>
    </row>
    <row r="197" spans="1:9" ht="15">
      <c r="A197" s="396" t="s">
        <v>730</v>
      </c>
      <c r="B197" s="86" t="s">
        <v>750</v>
      </c>
      <c r="C197" s="149">
        <v>11000</v>
      </c>
      <c r="D197" s="690">
        <v>10000</v>
      </c>
      <c r="E197" s="690">
        <v>10000</v>
      </c>
      <c r="F197" s="149">
        <v>10000</v>
      </c>
      <c r="G197" s="149">
        <v>11000</v>
      </c>
      <c r="H197" s="141">
        <v>11000</v>
      </c>
      <c r="I197" s="412">
        <v>10487</v>
      </c>
    </row>
    <row r="198" spans="1:9" ht="15">
      <c r="A198" s="396" t="s">
        <v>379</v>
      </c>
      <c r="B198" s="86" t="s">
        <v>751</v>
      </c>
      <c r="C198" s="149"/>
      <c r="D198" s="690">
        <v>150</v>
      </c>
      <c r="E198" s="690">
        <v>150</v>
      </c>
      <c r="F198" s="149">
        <v>150</v>
      </c>
      <c r="G198" s="149">
        <v>50</v>
      </c>
      <c r="H198" s="141">
        <v>50</v>
      </c>
      <c r="I198" s="412">
        <v>50</v>
      </c>
    </row>
    <row r="199" spans="1:9" ht="15">
      <c r="A199" s="349" t="s">
        <v>186</v>
      </c>
      <c r="B199" s="85"/>
      <c r="C199" s="150"/>
      <c r="D199" s="689"/>
      <c r="E199" s="689"/>
      <c r="F199" s="150"/>
      <c r="G199" s="150"/>
      <c r="H199" s="142"/>
      <c r="I199" s="352"/>
    </row>
    <row r="200" spans="1:9" ht="15">
      <c r="A200" s="396" t="s">
        <v>721</v>
      </c>
      <c r="B200" s="86" t="s">
        <v>752</v>
      </c>
      <c r="C200" s="149"/>
      <c r="D200" s="690"/>
      <c r="E200" s="690"/>
      <c r="F200" s="149"/>
      <c r="G200" s="149"/>
      <c r="H200" s="141">
        <v>0</v>
      </c>
      <c r="I200" s="412">
        <v>0</v>
      </c>
    </row>
    <row r="201" spans="1:9" ht="15">
      <c r="A201" s="396" t="s">
        <v>573</v>
      </c>
      <c r="B201" s="86" t="s">
        <v>753</v>
      </c>
      <c r="C201" s="149">
        <v>660</v>
      </c>
      <c r="D201" s="690">
        <v>449</v>
      </c>
      <c r="E201" s="690">
        <v>449</v>
      </c>
      <c r="F201" s="149">
        <v>449</v>
      </c>
      <c r="G201" s="149"/>
      <c r="H201" s="141"/>
      <c r="I201" s="412"/>
    </row>
    <row r="202" spans="1:9" ht="15">
      <c r="A202" s="396" t="s">
        <v>754</v>
      </c>
      <c r="B202" s="87" t="s">
        <v>755</v>
      </c>
      <c r="C202" s="149"/>
      <c r="D202" s="690">
        <v>1590</v>
      </c>
      <c r="E202" s="690">
        <v>1590</v>
      </c>
      <c r="F202" s="149">
        <v>1590</v>
      </c>
      <c r="G202" s="149">
        <v>1000</v>
      </c>
      <c r="H202" s="141">
        <v>1000</v>
      </c>
      <c r="I202" s="412">
        <v>600</v>
      </c>
    </row>
    <row r="203" spans="1:9" ht="15">
      <c r="A203" s="349" t="s">
        <v>181</v>
      </c>
      <c r="B203" s="85"/>
      <c r="C203" s="150"/>
      <c r="D203" s="689"/>
      <c r="E203" s="689"/>
      <c r="F203" s="150"/>
      <c r="G203" s="150"/>
      <c r="H203" s="142"/>
      <c r="I203" s="352"/>
    </row>
    <row r="204" spans="1:9" ht="15">
      <c r="A204" s="396" t="s">
        <v>535</v>
      </c>
      <c r="B204" s="86" t="s">
        <v>756</v>
      </c>
      <c r="C204" s="149">
        <v>1350</v>
      </c>
      <c r="D204" s="690">
        <v>750</v>
      </c>
      <c r="E204" s="690">
        <v>750</v>
      </c>
      <c r="F204" s="149">
        <v>4212</v>
      </c>
      <c r="G204" s="149">
        <v>1000</v>
      </c>
      <c r="H204" s="141">
        <v>1000</v>
      </c>
      <c r="I204" s="412">
        <v>6000</v>
      </c>
    </row>
    <row r="205" spans="1:9" ht="15">
      <c r="A205" s="396" t="s">
        <v>757</v>
      </c>
      <c r="B205" s="86" t="s">
        <v>758</v>
      </c>
      <c r="C205" s="149">
        <v>6000</v>
      </c>
      <c r="D205" s="690">
        <v>6500</v>
      </c>
      <c r="E205" s="690">
        <v>6500</v>
      </c>
      <c r="F205" s="149">
        <v>6500</v>
      </c>
      <c r="G205" s="149">
        <v>5000</v>
      </c>
      <c r="H205" s="141">
        <v>5000</v>
      </c>
      <c r="I205" s="412"/>
    </row>
    <row r="206" spans="1:9" ht="15">
      <c r="A206" s="349" t="s">
        <v>191</v>
      </c>
      <c r="B206" s="85"/>
      <c r="C206" s="150"/>
      <c r="D206" s="689"/>
      <c r="E206" s="689"/>
      <c r="F206" s="150"/>
      <c r="G206" s="150"/>
      <c r="H206" s="142"/>
      <c r="I206" s="352"/>
    </row>
    <row r="207" spans="1:9" ht="15">
      <c r="A207" s="396" t="s">
        <v>759</v>
      </c>
      <c r="B207" s="87" t="s">
        <v>752</v>
      </c>
      <c r="C207" s="149"/>
      <c r="D207" s="690"/>
      <c r="E207" s="690"/>
      <c r="F207" s="149"/>
      <c r="G207" s="149"/>
      <c r="H207" s="141"/>
      <c r="I207" s="354"/>
    </row>
    <row r="208" spans="1:9" ht="15">
      <c r="A208" s="396" t="s">
        <v>260</v>
      </c>
      <c r="B208" s="86" t="s">
        <v>760</v>
      </c>
      <c r="C208" s="149"/>
      <c r="D208" s="690"/>
      <c r="E208" s="690"/>
      <c r="F208" s="149"/>
      <c r="G208" s="149"/>
      <c r="H208" s="141"/>
      <c r="I208" s="353"/>
    </row>
    <row r="209" spans="1:9" ht="15">
      <c r="A209" s="396" t="s">
        <v>404</v>
      </c>
      <c r="B209" s="86" t="s">
        <v>761</v>
      </c>
      <c r="C209" s="149"/>
      <c r="D209" s="690"/>
      <c r="E209" s="690"/>
      <c r="F209" s="149"/>
      <c r="G209" s="149"/>
      <c r="H209" s="141"/>
      <c r="I209" s="412">
        <v>200</v>
      </c>
    </row>
    <row r="210" spans="1:9" ht="15">
      <c r="A210" s="396" t="s">
        <v>430</v>
      </c>
      <c r="B210" s="86" t="s">
        <v>762</v>
      </c>
      <c r="C210" s="149"/>
      <c r="D210" s="690"/>
      <c r="E210" s="690"/>
      <c r="F210" s="149"/>
      <c r="G210" s="149"/>
      <c r="H210" s="141"/>
      <c r="I210" s="353"/>
    </row>
    <row r="211" spans="1:9" ht="15">
      <c r="A211" s="413" t="s">
        <v>733</v>
      </c>
      <c r="B211" s="367"/>
      <c r="C211" s="150"/>
      <c r="D211" s="689"/>
      <c r="E211" s="689"/>
      <c r="F211" s="150"/>
      <c r="G211" s="150"/>
      <c r="H211" s="142"/>
      <c r="I211" s="395"/>
    </row>
    <row r="212" spans="1:9" ht="15">
      <c r="A212" s="397" t="s">
        <v>586</v>
      </c>
      <c r="B212" s="86" t="s">
        <v>763</v>
      </c>
      <c r="C212" s="149">
        <v>-4950</v>
      </c>
      <c r="D212" s="690">
        <v>-4950</v>
      </c>
      <c r="E212" s="690">
        <v>-4950</v>
      </c>
      <c r="F212" s="149">
        <v>-4950</v>
      </c>
      <c r="G212" s="149">
        <v>-5868</v>
      </c>
      <c r="H212" s="141">
        <v>-5868</v>
      </c>
      <c r="I212" s="405">
        <v>-5400</v>
      </c>
    </row>
    <row r="213" spans="1:9" ht="15">
      <c r="A213" s="386" t="s">
        <v>764</v>
      </c>
      <c r="B213" s="361"/>
      <c r="C213" s="356">
        <f t="shared" ref="C213:H213" si="6">SUM(C189:C212)</f>
        <v>168148</v>
      </c>
      <c r="D213" s="356">
        <f t="shared" si="6"/>
        <v>162562</v>
      </c>
      <c r="E213" s="356">
        <f t="shared" si="6"/>
        <v>162562</v>
      </c>
      <c r="F213" s="356">
        <f t="shared" si="6"/>
        <v>166024</v>
      </c>
      <c r="G213" s="356">
        <f t="shared" si="6"/>
        <v>183337</v>
      </c>
      <c r="H213" s="356">
        <f t="shared" si="6"/>
        <v>187903</v>
      </c>
      <c r="I213" s="399">
        <f>SUM(I189:I211)</f>
        <v>202405.72</v>
      </c>
    </row>
    <row r="214" spans="1:9" ht="15">
      <c r="A214" s="434" t="s">
        <v>765</v>
      </c>
      <c r="B214" s="435" t="s">
        <v>766</v>
      </c>
      <c r="C214" s="436"/>
      <c r="D214" s="436"/>
      <c r="E214" s="436"/>
      <c r="F214" s="436"/>
      <c r="G214" s="436"/>
      <c r="H214" s="435"/>
      <c r="I214" s="437"/>
    </row>
    <row r="215" spans="1:9" ht="15">
      <c r="A215" s="349" t="s">
        <v>157</v>
      </c>
      <c r="B215" s="358"/>
      <c r="C215" s="359"/>
      <c r="D215" s="359"/>
      <c r="E215" s="359"/>
      <c r="F215" s="359"/>
      <c r="G215" s="359"/>
      <c r="H215" s="358"/>
      <c r="I215" s="387"/>
    </row>
    <row r="216" spans="1:9" ht="15">
      <c r="A216" s="396" t="s">
        <v>767</v>
      </c>
      <c r="B216" s="86" t="s">
        <v>768</v>
      </c>
      <c r="C216" s="149">
        <v>41036</v>
      </c>
      <c r="D216" s="690">
        <v>19768</v>
      </c>
      <c r="E216" s="690">
        <v>39126</v>
      </c>
      <c r="F216" s="149">
        <v>39126</v>
      </c>
      <c r="G216" s="149">
        <v>36007</v>
      </c>
      <c r="H216" s="141">
        <v>36007</v>
      </c>
      <c r="I216" s="414">
        <v>35727</v>
      </c>
    </row>
    <row r="217" spans="1:9" ht="15">
      <c r="A217" s="396" t="s">
        <v>769</v>
      </c>
      <c r="B217" s="86" t="s">
        <v>770</v>
      </c>
      <c r="C217" s="149">
        <v>46275</v>
      </c>
      <c r="D217" s="690">
        <v>68443</v>
      </c>
      <c r="E217" s="690">
        <v>98113</v>
      </c>
      <c r="F217" s="149">
        <v>107595</v>
      </c>
      <c r="G217" s="149">
        <v>70892</v>
      </c>
      <c r="H217" s="141">
        <v>66742</v>
      </c>
      <c r="I217" s="723">
        <v>75120</v>
      </c>
    </row>
    <row r="218" spans="1:9" ht="15">
      <c r="A218" s="396" t="s">
        <v>483</v>
      </c>
      <c r="B218" s="86" t="s">
        <v>771</v>
      </c>
      <c r="C218" s="149">
        <v>9124</v>
      </c>
      <c r="D218" s="690">
        <v>18759</v>
      </c>
      <c r="E218" s="690">
        <v>18609</v>
      </c>
      <c r="F218" s="149">
        <v>20013</v>
      </c>
      <c r="G218" s="149">
        <v>21319.8</v>
      </c>
      <c r="H218" s="141">
        <v>20550</v>
      </c>
      <c r="I218" s="414">
        <v>16251</v>
      </c>
    </row>
    <row r="219" spans="1:9" ht="15">
      <c r="A219" s="396" t="s">
        <v>568</v>
      </c>
      <c r="B219" s="86" t="s">
        <v>772</v>
      </c>
      <c r="C219" s="149">
        <v>720</v>
      </c>
      <c r="D219" s="690"/>
      <c r="E219" s="690"/>
      <c r="F219" s="149"/>
      <c r="G219" s="149"/>
      <c r="H219" s="141"/>
      <c r="I219" s="414"/>
    </row>
    <row r="220" spans="1:9" ht="15">
      <c r="A220" s="349" t="s">
        <v>170</v>
      </c>
      <c r="B220" s="85"/>
      <c r="C220" s="150"/>
      <c r="D220" s="689"/>
      <c r="E220" s="689"/>
      <c r="F220" s="150"/>
      <c r="G220" s="150"/>
      <c r="H220" s="142"/>
      <c r="I220" s="352"/>
    </row>
    <row r="221" spans="1:9" ht="15">
      <c r="A221" s="396" t="s">
        <v>773</v>
      </c>
      <c r="B221" s="86" t="s">
        <v>774</v>
      </c>
      <c r="C221" s="149">
        <v>300</v>
      </c>
      <c r="D221" s="690">
        <v>500</v>
      </c>
      <c r="E221" s="690">
        <v>500</v>
      </c>
      <c r="F221" s="149"/>
      <c r="G221" s="149"/>
      <c r="H221" s="141"/>
      <c r="I221" s="353"/>
    </row>
    <row r="222" spans="1:9" ht="15">
      <c r="A222" s="396" t="s">
        <v>775</v>
      </c>
      <c r="B222" s="86" t="s">
        <v>776</v>
      </c>
      <c r="C222" s="149">
        <v>150</v>
      </c>
      <c r="D222" s="690">
        <v>150</v>
      </c>
      <c r="E222" s="690">
        <v>150</v>
      </c>
      <c r="F222" s="149">
        <v>150</v>
      </c>
      <c r="G222" s="149">
        <v>50</v>
      </c>
      <c r="H222" s="141"/>
      <c r="I222" s="353"/>
    </row>
    <row r="223" spans="1:9" ht="15">
      <c r="A223" s="396" t="s">
        <v>777</v>
      </c>
      <c r="B223" s="86" t="s">
        <v>778</v>
      </c>
      <c r="C223" s="149"/>
      <c r="D223" s="690">
        <v>240</v>
      </c>
      <c r="E223" s="690">
        <v>240</v>
      </c>
      <c r="F223" s="149"/>
      <c r="G223" s="149"/>
      <c r="H223" s="141"/>
      <c r="I223" s="353"/>
    </row>
    <row r="224" spans="1:9" ht="15">
      <c r="A224" s="396" t="s">
        <v>379</v>
      </c>
      <c r="B224" s="86" t="s">
        <v>779</v>
      </c>
      <c r="C224" s="149">
        <v>120</v>
      </c>
      <c r="D224" s="690">
        <v>150</v>
      </c>
      <c r="E224" s="690">
        <v>150</v>
      </c>
      <c r="F224" s="149">
        <v>150</v>
      </c>
      <c r="G224" s="149">
        <v>50</v>
      </c>
      <c r="H224" s="141">
        <v>50</v>
      </c>
      <c r="I224" s="414">
        <v>100</v>
      </c>
    </row>
    <row r="225" spans="1:9" ht="15">
      <c r="A225" s="349" t="s">
        <v>181</v>
      </c>
      <c r="B225" s="85"/>
      <c r="C225" s="150"/>
      <c r="D225" s="689"/>
      <c r="E225" s="689"/>
      <c r="F225" s="150"/>
      <c r="G225" s="150"/>
      <c r="H225" s="142"/>
      <c r="I225" s="352"/>
    </row>
    <row r="226" spans="1:9" ht="15">
      <c r="A226" s="396" t="s">
        <v>535</v>
      </c>
      <c r="B226" s="86" t="s">
        <v>780</v>
      </c>
      <c r="C226" s="149">
        <v>590</v>
      </c>
      <c r="D226" s="690">
        <v>800</v>
      </c>
      <c r="E226" s="690">
        <v>800</v>
      </c>
      <c r="F226" s="149">
        <v>10800</v>
      </c>
      <c r="G226" s="149">
        <v>32025</v>
      </c>
      <c r="H226" s="141">
        <v>32025</v>
      </c>
      <c r="I226" s="415">
        <v>28000</v>
      </c>
    </row>
    <row r="227" spans="1:9" ht="15">
      <c r="A227" s="349" t="s">
        <v>186</v>
      </c>
      <c r="B227" s="85"/>
      <c r="C227" s="150"/>
      <c r="D227" s="689"/>
      <c r="E227" s="689"/>
      <c r="F227" s="150"/>
      <c r="G227" s="150"/>
      <c r="H227" s="142"/>
      <c r="I227" s="352"/>
    </row>
    <row r="228" spans="1:9" ht="15">
      <c r="A228" s="396" t="s">
        <v>781</v>
      </c>
      <c r="B228" s="86" t="s">
        <v>782</v>
      </c>
      <c r="C228" s="149">
        <v>1400</v>
      </c>
      <c r="D228" s="690">
        <v>1400</v>
      </c>
      <c r="E228" s="690">
        <v>1400</v>
      </c>
      <c r="F228" s="149">
        <v>1400</v>
      </c>
      <c r="G228" s="149"/>
      <c r="H228" s="141">
        <v>0</v>
      </c>
      <c r="I228" s="414">
        <v>750</v>
      </c>
    </row>
    <row r="229" spans="1:9" ht="15">
      <c r="A229" s="396" t="s">
        <v>437</v>
      </c>
      <c r="B229" s="86" t="s">
        <v>783</v>
      </c>
      <c r="C229" s="149">
        <v>0</v>
      </c>
      <c r="D229" s="690">
        <v>2050</v>
      </c>
      <c r="E229" s="690">
        <v>2050</v>
      </c>
      <c r="F229" s="149">
        <v>2050</v>
      </c>
      <c r="G229" s="149">
        <v>1800</v>
      </c>
      <c r="H229" s="141">
        <v>1800</v>
      </c>
      <c r="I229" s="723">
        <v>1500</v>
      </c>
    </row>
    <row r="230" spans="1:9" ht="15">
      <c r="A230" s="349" t="s">
        <v>191</v>
      </c>
      <c r="B230" s="85"/>
      <c r="C230" s="150"/>
      <c r="D230" s="689"/>
      <c r="E230" s="689"/>
      <c r="F230" s="150"/>
      <c r="G230" s="150"/>
      <c r="H230" s="142"/>
      <c r="I230" s="352"/>
    </row>
    <row r="231" spans="1:9" ht="15">
      <c r="A231" s="396" t="s">
        <v>784</v>
      </c>
      <c r="B231" s="86" t="s">
        <v>785</v>
      </c>
      <c r="C231" s="149">
        <v>11400</v>
      </c>
      <c r="D231" s="690">
        <v>11400</v>
      </c>
      <c r="E231" s="690">
        <v>11400</v>
      </c>
      <c r="F231" s="149"/>
      <c r="G231" s="149"/>
      <c r="H231" s="141">
        <v>0</v>
      </c>
      <c r="I231" s="414">
        <v>500</v>
      </c>
    </row>
    <row r="232" spans="1:9" ht="15">
      <c r="A232" s="396" t="s">
        <v>786</v>
      </c>
      <c r="B232" s="87" t="s">
        <v>787</v>
      </c>
      <c r="C232" s="149"/>
      <c r="D232" s="690">
        <v>80</v>
      </c>
      <c r="E232" s="690">
        <v>0</v>
      </c>
      <c r="F232" s="149">
        <v>740</v>
      </c>
      <c r="G232" s="149">
        <v>500</v>
      </c>
      <c r="H232" s="141">
        <v>500</v>
      </c>
      <c r="I232" s="354"/>
    </row>
    <row r="233" spans="1:9" ht="15">
      <c r="A233" s="396" t="s">
        <v>788</v>
      </c>
      <c r="B233" s="86" t="s">
        <v>789</v>
      </c>
      <c r="C233" s="149"/>
      <c r="D233" s="690"/>
      <c r="E233" s="690"/>
      <c r="F233" s="149"/>
      <c r="G233" s="149">
        <v>1200</v>
      </c>
      <c r="H233" s="141">
        <v>0</v>
      </c>
      <c r="I233" s="414">
        <v>500</v>
      </c>
    </row>
    <row r="234" spans="1:9" ht="15">
      <c r="A234" s="396" t="s">
        <v>377</v>
      </c>
      <c r="B234" s="86" t="s">
        <v>790</v>
      </c>
      <c r="C234" s="149"/>
      <c r="D234" s="690">
        <v>25</v>
      </c>
      <c r="E234" s="690"/>
      <c r="F234" s="149"/>
      <c r="G234" s="149"/>
      <c r="H234" s="141">
        <v>0</v>
      </c>
      <c r="I234" s="353"/>
    </row>
    <row r="235" spans="1:9" ht="15">
      <c r="A235" s="413" t="s">
        <v>733</v>
      </c>
      <c r="B235" s="367"/>
      <c r="C235" s="150"/>
      <c r="D235" s="689"/>
      <c r="E235" s="689"/>
      <c r="F235" s="150"/>
      <c r="G235" s="150"/>
      <c r="H235" s="142"/>
      <c r="I235" s="395"/>
    </row>
    <row r="236" spans="1:9" ht="15">
      <c r="A236" s="396" t="s">
        <v>586</v>
      </c>
      <c r="B236" s="86" t="s">
        <v>791</v>
      </c>
      <c r="C236" s="149">
        <v>-9900</v>
      </c>
      <c r="D236" s="690">
        <v>-8730</v>
      </c>
      <c r="E236" s="690"/>
      <c r="F236" s="149"/>
      <c r="G236" s="149"/>
      <c r="H236" s="141"/>
      <c r="I236" s="353"/>
    </row>
    <row r="237" spans="1:9" ht="15">
      <c r="A237" s="396" t="s">
        <v>792</v>
      </c>
      <c r="B237" s="86" t="s">
        <v>793</v>
      </c>
      <c r="C237" s="149"/>
      <c r="D237" s="690"/>
      <c r="E237" s="690"/>
      <c r="F237" s="149"/>
      <c r="G237" s="149"/>
      <c r="H237" s="141"/>
      <c r="I237" s="787">
        <v>-3746.16</v>
      </c>
    </row>
    <row r="238" spans="1:9" ht="15">
      <c r="A238" s="396" t="s">
        <v>794</v>
      </c>
      <c r="B238" s="86" t="s">
        <v>795</v>
      </c>
      <c r="C238" s="149">
        <v>-28673</v>
      </c>
      <c r="D238" s="690">
        <v>-14145</v>
      </c>
      <c r="E238" s="690">
        <v>-70000</v>
      </c>
      <c r="F238" s="149">
        <v>-70000</v>
      </c>
      <c r="G238" s="149">
        <v>-20160</v>
      </c>
      <c r="H238" s="141">
        <v>-20160</v>
      </c>
      <c r="I238" s="787">
        <v>0</v>
      </c>
    </row>
    <row r="239" spans="1:9" ht="15">
      <c r="A239" s="396" t="s">
        <v>796</v>
      </c>
      <c r="B239" s="86" t="s">
        <v>797</v>
      </c>
      <c r="C239" s="149"/>
      <c r="D239" s="690"/>
      <c r="E239" s="690"/>
      <c r="F239" s="149"/>
      <c r="G239" s="149">
        <v>-1000</v>
      </c>
      <c r="H239" s="141">
        <v>-1000</v>
      </c>
      <c r="I239" s="787">
        <v>-1000</v>
      </c>
    </row>
    <row r="240" spans="1:9" ht="15">
      <c r="A240" s="396" t="s">
        <v>737</v>
      </c>
      <c r="B240" s="86" t="s">
        <v>798</v>
      </c>
      <c r="C240" s="149"/>
      <c r="D240" s="690">
        <v>-9141</v>
      </c>
      <c r="E240" s="690">
        <v>-9900</v>
      </c>
      <c r="F240" s="149">
        <v>-9900</v>
      </c>
      <c r="G240" s="149">
        <v>-8118</v>
      </c>
      <c r="H240" s="141">
        <v>-8118</v>
      </c>
      <c r="I240" s="787">
        <v>-63945.88</v>
      </c>
    </row>
    <row r="241" spans="1:9" ht="15">
      <c r="A241" s="396" t="s">
        <v>799</v>
      </c>
      <c r="B241" s="86" t="s">
        <v>800</v>
      </c>
      <c r="C241" s="149">
        <v>-20574</v>
      </c>
      <c r="D241" s="690">
        <v>-26126</v>
      </c>
      <c r="E241" s="690">
        <v>-27806</v>
      </c>
      <c r="F241" s="149">
        <v>-36600</v>
      </c>
      <c r="G241" s="149">
        <v>-26146</v>
      </c>
      <c r="H241" s="141">
        <v>-26146</v>
      </c>
      <c r="I241" s="416"/>
    </row>
    <row r="242" spans="1:9" ht="15">
      <c r="A242" s="386" t="s">
        <v>801</v>
      </c>
      <c r="B242" s="361"/>
      <c r="C242" s="356">
        <f t="shared" ref="C242:H242" si="7">SUM(C216:C241)</f>
        <v>51968</v>
      </c>
      <c r="D242" s="356">
        <f t="shared" si="7"/>
        <v>65623</v>
      </c>
      <c r="E242" s="356">
        <f t="shared" si="7"/>
        <v>64832</v>
      </c>
      <c r="F242" s="356">
        <f t="shared" si="7"/>
        <v>65524</v>
      </c>
      <c r="G242" s="356">
        <f t="shared" si="7"/>
        <v>108419.79999999999</v>
      </c>
      <c r="H242" s="356">
        <f t="shared" si="7"/>
        <v>102250</v>
      </c>
      <c r="I242" s="399">
        <f>SUM(I216:I240)</f>
        <v>89755.959999999992</v>
      </c>
    </row>
    <row r="243" spans="1:9" ht="15">
      <c r="A243" s="434" t="s">
        <v>802</v>
      </c>
      <c r="B243" s="435" t="s">
        <v>803</v>
      </c>
      <c r="C243" s="436"/>
      <c r="D243" s="436"/>
      <c r="E243" s="436"/>
      <c r="F243" s="436"/>
      <c r="G243" s="436"/>
      <c r="H243" s="435"/>
      <c r="I243" s="437"/>
    </row>
    <row r="244" spans="1:9" ht="15">
      <c r="A244" s="413" t="s">
        <v>733</v>
      </c>
      <c r="B244" s="724"/>
      <c r="C244" s="726"/>
      <c r="D244" s="725"/>
      <c r="E244" s="725"/>
      <c r="F244" s="726"/>
      <c r="G244" s="726"/>
      <c r="H244" s="724"/>
      <c r="I244" s="727"/>
    </row>
    <row r="245" spans="1:9" ht="15">
      <c r="A245" s="397" t="s">
        <v>586</v>
      </c>
      <c r="B245" s="761" t="s">
        <v>804</v>
      </c>
      <c r="C245" s="762">
        <v>-14850</v>
      </c>
      <c r="D245" s="763">
        <v>-14850</v>
      </c>
      <c r="E245" s="763">
        <v>-14850</v>
      </c>
      <c r="F245" s="762">
        <v>-14850</v>
      </c>
      <c r="G245" s="762">
        <v>-15840</v>
      </c>
      <c r="H245" s="376">
        <v>-15840</v>
      </c>
      <c r="I245" s="417">
        <v>-15930</v>
      </c>
    </row>
    <row r="246" spans="1:9" ht="15">
      <c r="A246" s="349" t="s">
        <v>157</v>
      </c>
      <c r="B246" s="367"/>
      <c r="C246" s="150"/>
      <c r="D246" s="689"/>
      <c r="E246" s="689"/>
      <c r="F246" s="150"/>
      <c r="G246" s="150"/>
      <c r="H246" s="142"/>
      <c r="I246" s="395"/>
    </row>
    <row r="247" spans="1:9" ht="15">
      <c r="A247" s="396" t="s">
        <v>741</v>
      </c>
      <c r="B247" s="86" t="s">
        <v>805</v>
      </c>
      <c r="C247" s="149">
        <v>59334</v>
      </c>
      <c r="D247" s="690">
        <v>56445</v>
      </c>
      <c r="E247" s="690">
        <v>56445</v>
      </c>
      <c r="F247" s="149">
        <v>56445</v>
      </c>
      <c r="G247" s="149">
        <v>51196</v>
      </c>
      <c r="H247" s="141">
        <v>50628</v>
      </c>
      <c r="I247" s="417">
        <v>50631</v>
      </c>
    </row>
    <row r="248" spans="1:9" ht="15">
      <c r="A248" s="396" t="s">
        <v>483</v>
      </c>
      <c r="B248" s="86" t="s">
        <v>806</v>
      </c>
      <c r="C248" s="149">
        <v>6200</v>
      </c>
      <c r="D248" s="690">
        <v>5899</v>
      </c>
      <c r="E248" s="690">
        <v>5899</v>
      </c>
      <c r="F248" s="149">
        <v>5899</v>
      </c>
      <c r="G248" s="149">
        <v>10126</v>
      </c>
      <c r="H248" s="141">
        <v>10126</v>
      </c>
      <c r="I248" s="417">
        <v>7848</v>
      </c>
    </row>
    <row r="249" spans="1:9" ht="15">
      <c r="A249" s="349" t="s">
        <v>165</v>
      </c>
      <c r="B249" s="85"/>
      <c r="C249" s="150"/>
      <c r="D249" s="689"/>
      <c r="E249" s="689"/>
      <c r="F249" s="150"/>
      <c r="G249" s="150"/>
      <c r="H249" s="142"/>
      <c r="I249" s="352"/>
    </row>
    <row r="250" spans="1:9" ht="15">
      <c r="A250" s="388" t="s">
        <v>568</v>
      </c>
      <c r="B250" s="86" t="s">
        <v>807</v>
      </c>
      <c r="C250" s="149">
        <v>270</v>
      </c>
      <c r="D250" s="760"/>
      <c r="E250" s="760"/>
      <c r="F250" s="149"/>
      <c r="G250" s="149"/>
      <c r="H250" s="141"/>
      <c r="I250" s="353"/>
    </row>
    <row r="251" spans="1:9" ht="15">
      <c r="A251" s="397" t="s">
        <v>390</v>
      </c>
      <c r="B251" s="86" t="s">
        <v>808</v>
      </c>
      <c r="C251" s="149">
        <v>2400</v>
      </c>
      <c r="D251" s="690">
        <v>2400</v>
      </c>
      <c r="E251" s="690">
        <v>2400</v>
      </c>
      <c r="F251" s="149">
        <v>2400</v>
      </c>
      <c r="G251" s="149">
        <v>3000</v>
      </c>
      <c r="H251" s="141"/>
      <c r="I251" s="418">
        <v>2300</v>
      </c>
    </row>
    <row r="252" spans="1:9" ht="15">
      <c r="A252" s="349" t="s">
        <v>170</v>
      </c>
      <c r="B252" s="85"/>
      <c r="C252" s="150"/>
      <c r="D252" s="689"/>
      <c r="E252" s="689"/>
      <c r="F252" s="150"/>
      <c r="G252" s="150"/>
      <c r="H252" s="142"/>
      <c r="I252" s="352"/>
    </row>
    <row r="253" spans="1:9" ht="15">
      <c r="A253" s="396" t="s">
        <v>171</v>
      </c>
      <c r="B253" s="86" t="s">
        <v>809</v>
      </c>
      <c r="C253" s="149">
        <v>456</v>
      </c>
      <c r="D253" s="690">
        <v>720</v>
      </c>
      <c r="E253" s="690">
        <v>720</v>
      </c>
      <c r="F253" s="149">
        <v>720</v>
      </c>
      <c r="G253" s="149">
        <v>500</v>
      </c>
      <c r="H253" s="141"/>
      <c r="I253" s="353"/>
    </row>
    <row r="254" spans="1:9" ht="15">
      <c r="A254" s="396" t="s">
        <v>748</v>
      </c>
      <c r="B254" s="86" t="s">
        <v>810</v>
      </c>
      <c r="C254" s="149">
        <v>100</v>
      </c>
      <c r="D254" s="690">
        <v>150</v>
      </c>
      <c r="E254" s="690">
        <v>150</v>
      </c>
      <c r="F254" s="149">
        <v>150</v>
      </c>
      <c r="G254" s="149"/>
      <c r="H254" s="141"/>
      <c r="I254" s="417"/>
    </row>
    <row r="255" spans="1:9" ht="15">
      <c r="A255" s="396" t="s">
        <v>379</v>
      </c>
      <c r="B255" s="86" t="s">
        <v>811</v>
      </c>
      <c r="C255" s="149">
        <v>0</v>
      </c>
      <c r="D255" s="690">
        <v>150</v>
      </c>
      <c r="E255" s="690">
        <v>150</v>
      </c>
      <c r="F255" s="149">
        <v>150</v>
      </c>
      <c r="G255" s="149">
        <v>100</v>
      </c>
      <c r="H255" s="141">
        <v>100</v>
      </c>
      <c r="I255" s="405">
        <v>100</v>
      </c>
    </row>
    <row r="256" spans="1:9" ht="15">
      <c r="A256" s="349" t="s">
        <v>181</v>
      </c>
      <c r="B256" s="85"/>
      <c r="C256" s="150"/>
      <c r="D256" s="689"/>
      <c r="E256" s="689"/>
      <c r="F256" s="150"/>
      <c r="G256" s="150"/>
      <c r="H256" s="142"/>
      <c r="I256" s="352"/>
    </row>
    <row r="257" spans="1:9" ht="15">
      <c r="A257" s="397" t="s">
        <v>535</v>
      </c>
      <c r="B257" s="86" t="s">
        <v>812</v>
      </c>
      <c r="C257" s="149">
        <v>300</v>
      </c>
      <c r="D257" s="690">
        <v>300</v>
      </c>
      <c r="E257" s="690">
        <v>300</v>
      </c>
      <c r="F257" s="149">
        <v>300</v>
      </c>
      <c r="G257" s="149">
        <v>300</v>
      </c>
      <c r="H257" s="141"/>
      <c r="I257" s="417">
        <v>500</v>
      </c>
    </row>
    <row r="258" spans="1:9" ht="15">
      <c r="A258" s="349" t="s">
        <v>186</v>
      </c>
      <c r="B258" s="85"/>
      <c r="C258" s="150"/>
      <c r="D258" s="689"/>
      <c r="E258" s="689"/>
      <c r="F258" s="150"/>
      <c r="G258" s="150"/>
      <c r="H258" s="142"/>
      <c r="I258" s="352"/>
    </row>
    <row r="259" spans="1:9" ht="15">
      <c r="A259" s="388" t="s">
        <v>646</v>
      </c>
      <c r="B259" s="86" t="s">
        <v>813</v>
      </c>
      <c r="C259" s="149">
        <v>328</v>
      </c>
      <c r="D259" s="760"/>
      <c r="E259" s="760"/>
      <c r="F259" s="149"/>
      <c r="G259" s="149"/>
      <c r="H259" s="141"/>
      <c r="I259" s="353"/>
    </row>
    <row r="260" spans="1:9" ht="15">
      <c r="A260" s="388" t="s">
        <v>814</v>
      </c>
      <c r="B260" s="86" t="s">
        <v>815</v>
      </c>
      <c r="C260" s="149">
        <v>930</v>
      </c>
      <c r="D260" s="760"/>
      <c r="E260" s="760"/>
      <c r="F260" s="149"/>
      <c r="G260" s="149"/>
      <c r="H260" s="141"/>
      <c r="I260" s="353"/>
    </row>
    <row r="261" spans="1:9" ht="15">
      <c r="A261" s="397" t="s">
        <v>816</v>
      </c>
      <c r="B261" s="86" t="s">
        <v>817</v>
      </c>
      <c r="C261" s="149">
        <v>3630</v>
      </c>
      <c r="D261" s="690">
        <v>3260</v>
      </c>
      <c r="E261" s="690">
        <v>3260</v>
      </c>
      <c r="F261" s="149">
        <v>3260</v>
      </c>
      <c r="G261" s="149">
        <v>4500</v>
      </c>
      <c r="H261" s="141">
        <v>4000</v>
      </c>
      <c r="I261" s="417">
        <v>4000</v>
      </c>
    </row>
    <row r="262" spans="1:9" ht="15">
      <c r="A262" s="349" t="s">
        <v>191</v>
      </c>
      <c r="B262" s="85"/>
      <c r="C262" s="150"/>
      <c r="D262" s="689"/>
      <c r="E262" s="689"/>
      <c r="F262" s="150"/>
      <c r="G262" s="150"/>
      <c r="H262" s="142"/>
      <c r="I262" s="352"/>
    </row>
    <row r="263" spans="1:9" ht="15">
      <c r="A263" s="396" t="s">
        <v>260</v>
      </c>
      <c r="B263" s="86" t="s">
        <v>818</v>
      </c>
      <c r="C263" s="149"/>
      <c r="D263" s="690"/>
      <c r="E263" s="690"/>
      <c r="F263" s="149"/>
      <c r="G263" s="149">
        <v>1000</v>
      </c>
      <c r="H263" s="141">
        <v>1000</v>
      </c>
      <c r="I263" s="353"/>
    </row>
    <row r="264" spans="1:9" ht="15">
      <c r="A264" s="419" t="s">
        <v>819</v>
      </c>
      <c r="B264" s="87" t="s">
        <v>820</v>
      </c>
      <c r="C264" s="149">
        <v>4430</v>
      </c>
      <c r="D264" s="690">
        <v>4200</v>
      </c>
      <c r="E264" s="690">
        <v>4200</v>
      </c>
      <c r="F264" s="149">
        <v>4200</v>
      </c>
      <c r="G264" s="149">
        <v>4000</v>
      </c>
      <c r="H264" s="141">
        <v>4000</v>
      </c>
      <c r="I264" s="417">
        <v>4000</v>
      </c>
    </row>
    <row r="265" spans="1:9" ht="15">
      <c r="A265" s="419" t="s">
        <v>668</v>
      </c>
      <c r="B265" s="87" t="s">
        <v>821</v>
      </c>
      <c r="C265" s="149">
        <v>3420</v>
      </c>
      <c r="D265" s="690">
        <v>2000</v>
      </c>
      <c r="E265" s="690">
        <v>2000</v>
      </c>
      <c r="F265" s="149"/>
      <c r="G265" s="149"/>
      <c r="H265" s="141"/>
      <c r="I265" s="354"/>
    </row>
    <row r="266" spans="1:9" ht="15">
      <c r="A266" s="396" t="s">
        <v>404</v>
      </c>
      <c r="B266" s="86" t="s">
        <v>822</v>
      </c>
      <c r="C266" s="149"/>
      <c r="D266" s="690"/>
      <c r="E266" s="690"/>
      <c r="F266" s="149"/>
      <c r="G266" s="149">
        <v>1000</v>
      </c>
      <c r="H266" s="141">
        <v>1000</v>
      </c>
      <c r="I266" s="417">
        <v>1600</v>
      </c>
    </row>
    <row r="267" spans="1:9" ht="15">
      <c r="A267" s="396" t="s">
        <v>430</v>
      </c>
      <c r="B267" s="86" t="s">
        <v>823</v>
      </c>
      <c r="C267" s="149"/>
      <c r="D267" s="690">
        <v>897</v>
      </c>
      <c r="E267" s="690">
        <v>897</v>
      </c>
      <c r="F267" s="149">
        <v>897</v>
      </c>
      <c r="G267" s="149">
        <v>200</v>
      </c>
      <c r="H267" s="141">
        <v>200</v>
      </c>
      <c r="I267" s="353"/>
    </row>
    <row r="268" spans="1:9" ht="15">
      <c r="A268" s="386" t="s">
        <v>824</v>
      </c>
      <c r="B268" s="377"/>
      <c r="C268" s="369">
        <f t="shared" ref="C268:H268" si="8">SUM(C245:C267)</f>
        <v>66948</v>
      </c>
      <c r="D268" s="369">
        <f t="shared" si="8"/>
        <v>61571</v>
      </c>
      <c r="E268" s="369">
        <f t="shared" si="8"/>
        <v>61571</v>
      </c>
      <c r="F268" s="369">
        <f t="shared" si="8"/>
        <v>59571</v>
      </c>
      <c r="G268" s="369">
        <f t="shared" si="8"/>
        <v>60082</v>
      </c>
      <c r="H268" s="369">
        <f t="shared" si="8"/>
        <v>55214</v>
      </c>
      <c r="I268" s="420">
        <f>SUM(I245:I266)</f>
        <v>55049</v>
      </c>
    </row>
    <row r="269" spans="1:9" ht="15">
      <c r="A269" s="452" t="s">
        <v>825</v>
      </c>
      <c r="B269" s="453"/>
      <c r="C269" s="454"/>
      <c r="D269" s="454"/>
      <c r="E269" s="454"/>
      <c r="F269" s="454"/>
      <c r="G269" s="454"/>
      <c r="H269" s="453"/>
      <c r="I269" s="455"/>
    </row>
    <row r="270" spans="1:9" ht="15">
      <c r="A270" s="396" t="s">
        <v>586</v>
      </c>
      <c r="B270" s="86" t="s">
        <v>826</v>
      </c>
      <c r="C270" s="149">
        <v>-14850</v>
      </c>
      <c r="D270" s="690">
        <v>-9900</v>
      </c>
      <c r="E270" s="690">
        <v>-19900</v>
      </c>
      <c r="F270" s="149">
        <v>-19900</v>
      </c>
      <c r="G270" s="149">
        <f>-15840</f>
        <v>-15840</v>
      </c>
      <c r="H270" s="141">
        <v>-15840</v>
      </c>
      <c r="I270" s="421">
        <v>-5400</v>
      </c>
    </row>
    <row r="271" spans="1:9" ht="15">
      <c r="A271" s="396" t="s">
        <v>827</v>
      </c>
      <c r="B271" s="86" t="s">
        <v>828</v>
      </c>
      <c r="C271" s="149">
        <v>-10000</v>
      </c>
      <c r="D271" s="690">
        <v>-10000</v>
      </c>
      <c r="E271" s="690"/>
      <c r="F271" s="149"/>
      <c r="G271" s="149"/>
      <c r="H271" s="141"/>
      <c r="I271" s="421"/>
    </row>
    <row r="272" spans="1:9" ht="15">
      <c r="A272" s="401" t="s">
        <v>829</v>
      </c>
      <c r="B272" s="382" t="s">
        <v>830</v>
      </c>
      <c r="C272" s="383">
        <v>71153</v>
      </c>
      <c r="D272" s="383">
        <v>40782</v>
      </c>
      <c r="E272" s="383">
        <v>39126</v>
      </c>
      <c r="F272" s="383">
        <v>39126</v>
      </c>
      <c r="G272" s="383">
        <v>51196</v>
      </c>
      <c r="H272" s="384">
        <v>30628</v>
      </c>
      <c r="I272" s="421">
        <v>20823</v>
      </c>
    </row>
    <row r="273" spans="1:9" ht="15">
      <c r="A273" s="401" t="s">
        <v>483</v>
      </c>
      <c r="B273" s="382" t="s">
        <v>831</v>
      </c>
      <c r="C273" s="383">
        <v>7435</v>
      </c>
      <c r="D273" s="383">
        <v>4262</v>
      </c>
      <c r="E273" s="383">
        <v>4089</v>
      </c>
      <c r="F273" s="383">
        <v>4089</v>
      </c>
      <c r="G273" s="383">
        <v>10126</v>
      </c>
      <c r="H273" s="384">
        <v>10126</v>
      </c>
      <c r="I273" s="414">
        <v>3228</v>
      </c>
    </row>
    <row r="274" spans="1:9" ht="15">
      <c r="A274" s="401" t="s">
        <v>568</v>
      </c>
      <c r="B274" s="382" t="s">
        <v>832</v>
      </c>
      <c r="C274" s="383">
        <v>270</v>
      </c>
      <c r="D274" s="383"/>
      <c r="E274" s="383"/>
      <c r="F274" s="383"/>
      <c r="G274" s="383"/>
      <c r="H274" s="384"/>
      <c r="I274" s="406"/>
    </row>
    <row r="275" spans="1:9" ht="15">
      <c r="A275" s="401" t="s">
        <v>374</v>
      </c>
      <c r="B275" s="382" t="s">
        <v>833</v>
      </c>
      <c r="C275" s="383">
        <v>150</v>
      </c>
      <c r="D275" s="383">
        <v>600</v>
      </c>
      <c r="E275" s="383">
        <v>600</v>
      </c>
      <c r="F275" s="383">
        <v>600</v>
      </c>
      <c r="G275" s="383">
        <v>300</v>
      </c>
      <c r="H275" s="384"/>
      <c r="I275" s="406"/>
    </row>
    <row r="276" spans="1:9" ht="15">
      <c r="A276" s="401" t="s">
        <v>430</v>
      </c>
      <c r="B276" s="382" t="s">
        <v>834</v>
      </c>
      <c r="C276" s="383">
        <v>400</v>
      </c>
      <c r="D276" s="383"/>
      <c r="E276" s="383"/>
      <c r="F276" s="383"/>
      <c r="G276" s="383"/>
      <c r="H276" s="384"/>
      <c r="I276" s="406"/>
    </row>
    <row r="277" spans="1:9" ht="15">
      <c r="A277" s="401" t="s">
        <v>379</v>
      </c>
      <c r="B277" s="382" t="s">
        <v>835</v>
      </c>
      <c r="C277" s="383">
        <v>150</v>
      </c>
      <c r="D277" s="383">
        <v>240</v>
      </c>
      <c r="E277" s="383">
        <v>240</v>
      </c>
      <c r="F277" s="383">
        <v>240</v>
      </c>
      <c r="G277" s="383">
        <v>100</v>
      </c>
      <c r="H277" s="384">
        <v>300</v>
      </c>
      <c r="I277" s="421">
        <v>200</v>
      </c>
    </row>
    <row r="278" spans="1:9" ht="15">
      <c r="A278" s="401" t="s">
        <v>665</v>
      </c>
      <c r="B278" s="382" t="s">
        <v>836</v>
      </c>
      <c r="C278" s="383"/>
      <c r="D278" s="383"/>
      <c r="E278" s="383"/>
      <c r="F278" s="383"/>
      <c r="G278" s="383"/>
      <c r="H278" s="384"/>
      <c r="I278" s="406"/>
    </row>
    <row r="279" spans="1:9" ht="15">
      <c r="A279" s="401" t="s">
        <v>401</v>
      </c>
      <c r="B279" s="382" t="s">
        <v>837</v>
      </c>
      <c r="C279" s="383">
        <v>216</v>
      </c>
      <c r="D279" s="383">
        <v>522</v>
      </c>
      <c r="E279" s="383">
        <v>522</v>
      </c>
      <c r="F279" s="383">
        <v>520</v>
      </c>
      <c r="G279" s="383"/>
      <c r="H279" s="384"/>
      <c r="I279" s="406"/>
    </row>
    <row r="280" spans="1:9" ht="15">
      <c r="A280" s="401" t="s">
        <v>784</v>
      </c>
      <c r="B280" s="382" t="s">
        <v>838</v>
      </c>
      <c r="C280" s="383"/>
      <c r="D280" s="383"/>
      <c r="E280" s="383"/>
      <c r="F280" s="383"/>
      <c r="G280" s="383"/>
      <c r="H280" s="384"/>
      <c r="I280" s="406"/>
    </row>
    <row r="281" spans="1:9" ht="15">
      <c r="A281" s="422" t="s">
        <v>786</v>
      </c>
      <c r="B281" s="385" t="s">
        <v>839</v>
      </c>
      <c r="C281" s="383"/>
      <c r="D281" s="383"/>
      <c r="E281" s="383">
        <v>0</v>
      </c>
      <c r="F281" s="383">
        <v>0</v>
      </c>
      <c r="G281" s="383">
        <v>500</v>
      </c>
      <c r="H281" s="384"/>
      <c r="I281" s="408"/>
    </row>
    <row r="282" spans="1:9" ht="15">
      <c r="A282" s="422" t="s">
        <v>663</v>
      </c>
      <c r="B282" s="385" t="s">
        <v>840</v>
      </c>
      <c r="C282" s="383"/>
      <c r="D282" s="383"/>
      <c r="E282" s="383"/>
      <c r="F282" s="383"/>
      <c r="G282" s="383"/>
      <c r="H282" s="384">
        <v>250</v>
      </c>
      <c r="I282" s="421">
        <v>200</v>
      </c>
    </row>
    <row r="283" spans="1:9" ht="15">
      <c r="A283" s="401" t="s">
        <v>404</v>
      </c>
      <c r="B283" s="382" t="s">
        <v>841</v>
      </c>
      <c r="C283" s="383"/>
      <c r="D283" s="383">
        <v>520</v>
      </c>
      <c r="E283" s="383">
        <v>520</v>
      </c>
      <c r="F283" s="383">
        <v>520</v>
      </c>
      <c r="G283" s="383">
        <v>1000</v>
      </c>
      <c r="H283" s="384">
        <v>1000</v>
      </c>
      <c r="I283" s="421">
        <v>200</v>
      </c>
    </row>
    <row r="284" spans="1:9" ht="15">
      <c r="A284" s="456" t="s">
        <v>196</v>
      </c>
      <c r="B284" s="457"/>
      <c r="C284" s="426">
        <f t="shared" ref="C284:I284" si="9">SUM(C270:C283)</f>
        <v>54924</v>
      </c>
      <c r="D284" s="426">
        <f t="shared" si="9"/>
        <v>27026</v>
      </c>
      <c r="E284" s="426">
        <f t="shared" si="9"/>
        <v>25197</v>
      </c>
      <c r="F284" s="426">
        <f t="shared" si="9"/>
        <v>25195</v>
      </c>
      <c r="G284" s="426">
        <f t="shared" si="9"/>
        <v>47382</v>
      </c>
      <c r="H284" s="426">
        <f t="shared" si="9"/>
        <v>26464</v>
      </c>
      <c r="I284" s="458">
        <f t="shared" si="9"/>
        <v>19251</v>
      </c>
    </row>
    <row r="285" spans="1:9" ht="15">
      <c r="A285" s="398" t="s">
        <v>842</v>
      </c>
      <c r="B285" s="160"/>
      <c r="C285" s="285">
        <f>C31</f>
        <v>244244</v>
      </c>
      <c r="D285" s="285">
        <f>D31</f>
        <v>250710</v>
      </c>
      <c r="E285" s="285">
        <f>E31</f>
        <v>250710</v>
      </c>
      <c r="F285" s="285">
        <f>F31</f>
        <v>225142</v>
      </c>
      <c r="G285" s="285">
        <f>G31</f>
        <v>163004</v>
      </c>
      <c r="H285" s="357">
        <f>SUM(H31)</f>
        <v>138990</v>
      </c>
      <c r="I285" s="198">
        <f t="shared" ref="I285" si="10">I31</f>
        <v>105173.49</v>
      </c>
    </row>
    <row r="286" spans="1:9" ht="15">
      <c r="A286" s="398" t="s">
        <v>843</v>
      </c>
      <c r="B286" s="160"/>
      <c r="C286" s="285"/>
      <c r="D286" s="285"/>
      <c r="E286" s="285"/>
      <c r="F286" s="285"/>
      <c r="G286" s="285"/>
      <c r="H286" s="357">
        <v>0</v>
      </c>
      <c r="I286" s="198">
        <f t="shared" ref="I286" si="11">I61</f>
        <v>79791.959999999992</v>
      </c>
    </row>
    <row r="287" spans="1:9" ht="15">
      <c r="A287" s="423" t="s">
        <v>844</v>
      </c>
      <c r="B287" s="160"/>
      <c r="C287" s="285">
        <f>C153</f>
        <v>875035</v>
      </c>
      <c r="D287" s="285">
        <f>D153</f>
        <v>731316</v>
      </c>
      <c r="E287" s="285">
        <f>E153</f>
        <v>830694</v>
      </c>
      <c r="F287" s="285">
        <f>F153</f>
        <v>905482</v>
      </c>
      <c r="G287" s="285">
        <f>G153</f>
        <v>855627</v>
      </c>
      <c r="H287" s="357">
        <f>SUM(H153)</f>
        <v>844774</v>
      </c>
      <c r="I287" s="198">
        <f t="shared" ref="I287" si="12">I153</f>
        <v>743057.7</v>
      </c>
    </row>
    <row r="288" spans="1:9" ht="15">
      <c r="A288" s="423" t="s">
        <v>739</v>
      </c>
      <c r="B288" s="160"/>
      <c r="C288" s="285">
        <f>C186</f>
        <v>123871</v>
      </c>
      <c r="D288" s="285">
        <f>D186</f>
        <v>148751</v>
      </c>
      <c r="E288" s="285">
        <f>E186</f>
        <v>166408</v>
      </c>
      <c r="F288" s="285">
        <f>F186</f>
        <v>74783</v>
      </c>
      <c r="G288" s="285">
        <f>G186</f>
        <v>135236</v>
      </c>
      <c r="H288" s="357">
        <f>SUM(H186)</f>
        <v>184916</v>
      </c>
      <c r="I288" s="198">
        <f t="shared" ref="I288" si="13">I186</f>
        <v>124017.51999999999</v>
      </c>
    </row>
    <row r="289" spans="1:9" ht="15">
      <c r="A289" s="398" t="s">
        <v>764</v>
      </c>
      <c r="B289" s="160"/>
      <c r="C289" s="285">
        <f>C213</f>
        <v>168148</v>
      </c>
      <c r="D289" s="285">
        <f>D213</f>
        <v>162562</v>
      </c>
      <c r="E289" s="285">
        <f>E213</f>
        <v>162562</v>
      </c>
      <c r="F289" s="285">
        <f>F213</f>
        <v>166024</v>
      </c>
      <c r="G289" s="285">
        <f>G213</f>
        <v>183337</v>
      </c>
      <c r="H289" s="357">
        <f>SUM(H213)</f>
        <v>187903</v>
      </c>
      <c r="I289" s="198">
        <f t="shared" ref="I289" si="14">I213</f>
        <v>202405.72</v>
      </c>
    </row>
    <row r="290" spans="1:9" ht="15">
      <c r="A290" s="423" t="s">
        <v>801</v>
      </c>
      <c r="B290" s="160"/>
      <c r="C290" s="285">
        <f>C242</f>
        <v>51968</v>
      </c>
      <c r="D290" s="285">
        <f>D242</f>
        <v>65623</v>
      </c>
      <c r="E290" s="285">
        <f>E242</f>
        <v>64832</v>
      </c>
      <c r="F290" s="285">
        <f>F242</f>
        <v>65524</v>
      </c>
      <c r="G290" s="285">
        <f>G242</f>
        <v>108419.79999999999</v>
      </c>
      <c r="H290" s="357">
        <f>SUM(H242)</f>
        <v>102250</v>
      </c>
      <c r="I290" s="198">
        <f t="shared" ref="I290" si="15">I242</f>
        <v>89755.959999999992</v>
      </c>
    </row>
    <row r="291" spans="1:9" s="378" customFormat="1" ht="15">
      <c r="A291" s="423" t="s">
        <v>824</v>
      </c>
      <c r="B291" s="160"/>
      <c r="C291" s="285">
        <f>C268</f>
        <v>66948</v>
      </c>
      <c r="D291" s="285">
        <f>D268</f>
        <v>61571</v>
      </c>
      <c r="E291" s="285">
        <f>E268</f>
        <v>61571</v>
      </c>
      <c r="F291" s="285">
        <f>F268</f>
        <v>59571</v>
      </c>
      <c r="G291" s="285">
        <f>G268</f>
        <v>60082</v>
      </c>
      <c r="H291" s="357">
        <f>SUM(H268)</f>
        <v>55214</v>
      </c>
      <c r="I291" s="198">
        <f t="shared" ref="I291" si="16">I268</f>
        <v>55049</v>
      </c>
    </row>
    <row r="292" spans="1:9" ht="15">
      <c r="A292" s="423" t="s">
        <v>845</v>
      </c>
      <c r="B292" s="160"/>
      <c r="C292" s="285">
        <f>C284</f>
        <v>54924</v>
      </c>
      <c r="D292" s="285">
        <f>D284</f>
        <v>27026</v>
      </c>
      <c r="E292" s="285">
        <f>E284</f>
        <v>25197</v>
      </c>
      <c r="F292" s="285">
        <f>F284</f>
        <v>25195</v>
      </c>
      <c r="G292" s="285">
        <f>G284</f>
        <v>47382</v>
      </c>
      <c r="H292" s="357">
        <f>SUM(H284)</f>
        <v>26464</v>
      </c>
      <c r="I292" s="198">
        <f t="shared" ref="I292" si="17">I284</f>
        <v>19251</v>
      </c>
    </row>
    <row r="293" spans="1:9" ht="15">
      <c r="A293" s="424" t="s">
        <v>846</v>
      </c>
      <c r="B293" s="425"/>
      <c r="C293" s="426">
        <f>SUM(C285:C292)</f>
        <v>1585138</v>
      </c>
      <c r="D293" s="426">
        <f>SUM(D285:D292)</f>
        <v>1447559</v>
      </c>
      <c r="E293" s="426">
        <f>SUM(E285:E292)</f>
        <v>1561974</v>
      </c>
      <c r="F293" s="426">
        <f>SUM(F285:F292)</f>
        <v>1521721</v>
      </c>
      <c r="G293" s="426">
        <f t="shared" ref="G293:H293" si="18">SUM(G285:G292)</f>
        <v>1553087.8</v>
      </c>
      <c r="H293" s="426">
        <f t="shared" si="18"/>
        <v>1540511</v>
      </c>
      <c r="I293" s="427">
        <f>SUM(I285:I292)</f>
        <v>1418502.3499999999</v>
      </c>
    </row>
    <row r="294" spans="1:9" ht="12.95">
      <c r="E294" s="380"/>
    </row>
    <row r="295" spans="1:9" ht="32.1">
      <c r="A295" s="428"/>
      <c r="B295" s="429"/>
      <c r="C295" s="719" t="s">
        <v>847</v>
      </c>
      <c r="D295" s="719" t="s">
        <v>4</v>
      </c>
      <c r="E295" s="719" t="s">
        <v>848</v>
      </c>
      <c r="F295" s="719" t="s">
        <v>849</v>
      </c>
      <c r="G295" s="719" t="s">
        <v>153</v>
      </c>
      <c r="H295" s="719" t="s">
        <v>553</v>
      </c>
      <c r="I295" s="720" t="s">
        <v>14</v>
      </c>
    </row>
    <row r="296" spans="1:9" ht="15">
      <c r="A296" s="459" t="s">
        <v>850</v>
      </c>
      <c r="C296" s="108">
        <f>'Student Fees'!C8</f>
        <v>1013731.3665</v>
      </c>
      <c r="D296" s="30">
        <v>984015</v>
      </c>
      <c r="E296" s="30">
        <v>984015</v>
      </c>
      <c r="F296" s="30">
        <v>984015</v>
      </c>
      <c r="G296" s="30">
        <v>984015</v>
      </c>
      <c r="H296" s="186">
        <v>949050</v>
      </c>
      <c r="I296" s="194">
        <v>884300</v>
      </c>
    </row>
    <row r="297" spans="1:9" ht="15">
      <c r="A297" s="423" t="s">
        <v>851</v>
      </c>
      <c r="B297" s="160"/>
      <c r="C297" s="285">
        <f>C287</f>
        <v>875035</v>
      </c>
      <c r="D297" s="285">
        <f>D287</f>
        <v>731316</v>
      </c>
      <c r="E297" s="285">
        <f>E287</f>
        <v>830694</v>
      </c>
      <c r="F297" s="285">
        <f>F287</f>
        <v>905482</v>
      </c>
      <c r="G297" s="285">
        <f>G287</f>
        <v>855627</v>
      </c>
      <c r="H297" s="285">
        <f>G287</f>
        <v>855627</v>
      </c>
      <c r="I297" s="430">
        <f>H287</f>
        <v>844774</v>
      </c>
    </row>
    <row r="298" spans="1:9" ht="12.95">
      <c r="A298" s="460" t="s">
        <v>852</v>
      </c>
      <c r="B298" s="431"/>
      <c r="C298" s="432">
        <f t="shared" ref="C298:I298" si="19">C296-C297</f>
        <v>138696.3665</v>
      </c>
      <c r="D298" s="432">
        <f t="shared" si="19"/>
        <v>252699</v>
      </c>
      <c r="E298" s="432">
        <f t="shared" si="19"/>
        <v>153321</v>
      </c>
      <c r="F298" s="432">
        <f t="shared" si="19"/>
        <v>78533</v>
      </c>
      <c r="G298" s="432">
        <f t="shared" si="19"/>
        <v>128388</v>
      </c>
      <c r="H298" s="432">
        <f t="shared" si="19"/>
        <v>93423</v>
      </c>
      <c r="I298" s="433">
        <f t="shared" si="19"/>
        <v>39526</v>
      </c>
    </row>
    <row r="300" spans="1:9" ht="12.95">
      <c r="I300" s="381"/>
    </row>
  </sheetData>
  <conditionalFormatting sqref="I156:I157">
    <cfRule type="cellIs" dxfId="2" priority="5" stopIfTrue="1" operator="lessThan">
      <formula>0</formula>
    </cfRule>
  </conditionalFormatting>
  <conditionalFormatting sqref="I162">
    <cfRule type="cellIs" dxfId="1" priority="3" stopIfTrue="1" operator="lessThan">
      <formula>0</formula>
    </cfRule>
  </conditionalFormatting>
  <conditionalFormatting sqref="I176">
    <cfRule type="cellIs" dxfId="0" priority="4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0"/>
  <sheetViews>
    <sheetView workbookViewId="0">
      <pane ySplit="1" topLeftCell="A2" activePane="bottomLeft" state="frozen"/>
      <selection pane="bottomLeft" activeCell="A158" sqref="A158"/>
    </sheetView>
  </sheetViews>
  <sheetFormatPr defaultColWidth="9.140625" defaultRowHeight="15" customHeight="1"/>
  <cols>
    <col min="1" max="1" width="56.140625" style="1" customWidth="1"/>
    <col min="2" max="2" width="23" style="1" customWidth="1"/>
    <col min="3" max="4" width="23" style="108" customWidth="1"/>
    <col min="5" max="6" width="23" style="1" customWidth="1"/>
    <col min="7" max="7" width="14.7109375" style="1" bestFit="1" customWidth="1"/>
    <col min="8" max="8" width="18.28515625" style="1" customWidth="1"/>
    <col min="9" max="9" width="19.85546875" style="1" bestFit="1" customWidth="1"/>
    <col min="10" max="10" width="9.140625" style="1"/>
    <col min="11" max="11" width="12.28515625" style="1" customWidth="1"/>
    <col min="12" max="16384" width="9.140625" style="1"/>
  </cols>
  <sheetData>
    <row r="1" spans="1:11" ht="30.75">
      <c r="A1" s="550" t="s">
        <v>149</v>
      </c>
      <c r="B1" s="551" t="s">
        <v>150</v>
      </c>
      <c r="C1" s="755" t="s">
        <v>3</v>
      </c>
      <c r="D1" s="755" t="s">
        <v>4</v>
      </c>
      <c r="E1" s="697" t="s">
        <v>5</v>
      </c>
      <c r="F1" s="550" t="s">
        <v>853</v>
      </c>
      <c r="G1" s="550" t="s">
        <v>854</v>
      </c>
      <c r="H1" s="550" t="s">
        <v>154</v>
      </c>
      <c r="I1" s="551" t="s">
        <v>14</v>
      </c>
    </row>
    <row r="2" spans="1:11" ht="17.100000000000001" thickBot="1">
      <c r="A2" s="552" t="s">
        <v>69</v>
      </c>
      <c r="B2" s="553">
        <v>1146</v>
      </c>
      <c r="C2" s="756"/>
      <c r="D2" s="756"/>
      <c r="E2" s="553"/>
      <c r="F2" s="553"/>
      <c r="G2" s="553"/>
      <c r="H2" s="554" t="s">
        <v>855</v>
      </c>
      <c r="I2" s="555" t="s">
        <v>855</v>
      </c>
    </row>
    <row r="3" spans="1:11" ht="15.95">
      <c r="A3" s="574" t="s">
        <v>733</v>
      </c>
      <c r="B3" s="575" t="s">
        <v>855</v>
      </c>
      <c r="C3" s="576">
        <f>SUM(C4:C12)</f>
        <v>-17000</v>
      </c>
      <c r="D3" s="576">
        <f>SUM(D4:D12)</f>
        <v>-21937</v>
      </c>
      <c r="E3" s="576">
        <f>SUM(E4:E12)</f>
        <v>-66000</v>
      </c>
      <c r="F3" s="576">
        <f>SUM(F4:F12)</f>
        <v>-66000</v>
      </c>
      <c r="G3" s="576">
        <f>SUM(G4:G12)</f>
        <v>-106000</v>
      </c>
      <c r="H3" s="576">
        <f t="shared" ref="H3:I3" si="0">SUM(H4:H12)</f>
        <v>-81000</v>
      </c>
      <c r="I3" s="577">
        <f t="shared" si="0"/>
        <v>-91000</v>
      </c>
    </row>
    <row r="4" spans="1:11" ht="15.95">
      <c r="A4" s="558" t="s">
        <v>856</v>
      </c>
      <c r="B4" s="545" t="s">
        <v>857</v>
      </c>
      <c r="C4" s="547">
        <v>0</v>
      </c>
      <c r="D4" s="547"/>
      <c r="E4" s="546"/>
      <c r="F4" s="546"/>
      <c r="G4" s="546"/>
      <c r="H4" s="108" t="s">
        <v>855</v>
      </c>
      <c r="I4" s="232">
        <v>-20000</v>
      </c>
    </row>
    <row r="5" spans="1:11" ht="15.95">
      <c r="A5" s="558" t="s">
        <v>858</v>
      </c>
      <c r="B5" s="545" t="s">
        <v>859</v>
      </c>
      <c r="C5" s="547">
        <v>0</v>
      </c>
      <c r="D5" s="547"/>
      <c r="E5" s="547">
        <v>0</v>
      </c>
      <c r="F5" s="547">
        <v>0</v>
      </c>
      <c r="G5" s="547">
        <v>-1000</v>
      </c>
      <c r="H5" s="108">
        <v>-1000</v>
      </c>
      <c r="I5" s="232" t="s">
        <v>855</v>
      </c>
    </row>
    <row r="6" spans="1:11" ht="15.95">
      <c r="A6" s="558" t="s">
        <v>860</v>
      </c>
      <c r="B6" s="545" t="s">
        <v>861</v>
      </c>
      <c r="C6" s="547">
        <v>0</v>
      </c>
      <c r="D6" s="547">
        <v>-842</v>
      </c>
      <c r="E6" s="547">
        <v>-5000</v>
      </c>
      <c r="F6" s="547">
        <v>-5000</v>
      </c>
      <c r="G6" s="547"/>
      <c r="H6" s="108"/>
      <c r="I6" s="232"/>
    </row>
    <row r="7" spans="1:11" ht="15.95">
      <c r="A7" s="558" t="s">
        <v>862</v>
      </c>
      <c r="B7" s="545" t="s">
        <v>863</v>
      </c>
      <c r="C7" s="547">
        <v>-5000</v>
      </c>
      <c r="D7" s="547">
        <v>-4000</v>
      </c>
      <c r="E7" s="547">
        <v>-10000</v>
      </c>
      <c r="F7" s="547">
        <v>-10000</v>
      </c>
      <c r="G7" s="547">
        <v>-35000</v>
      </c>
      <c r="H7" s="108">
        <v>-15000</v>
      </c>
      <c r="I7" s="232">
        <v>-25000</v>
      </c>
    </row>
    <row r="8" spans="1:11" ht="15.95">
      <c r="A8" s="558" t="s">
        <v>864</v>
      </c>
      <c r="B8" s="545" t="s">
        <v>863</v>
      </c>
      <c r="C8" s="547">
        <v>0</v>
      </c>
      <c r="D8" s="547"/>
      <c r="E8" s="547"/>
      <c r="F8" s="547"/>
      <c r="G8" s="547"/>
      <c r="H8" s="108">
        <v>-30000</v>
      </c>
      <c r="I8" s="232">
        <v>-10000</v>
      </c>
    </row>
    <row r="9" spans="1:11" ht="15.95">
      <c r="A9" s="558" t="s">
        <v>865</v>
      </c>
      <c r="B9" s="545" t="s">
        <v>866</v>
      </c>
      <c r="C9" s="547">
        <v>0</v>
      </c>
      <c r="D9" s="547">
        <v>-8000</v>
      </c>
      <c r="E9" s="547">
        <v>-3000</v>
      </c>
      <c r="F9" s="547">
        <v>-3000</v>
      </c>
      <c r="G9" s="547">
        <v>-50000</v>
      </c>
      <c r="H9" s="108">
        <v>-10000</v>
      </c>
      <c r="I9" s="232">
        <v>-10000</v>
      </c>
    </row>
    <row r="10" spans="1:11" ht="15.95">
      <c r="A10" s="558" t="s">
        <v>867</v>
      </c>
      <c r="B10" s="545" t="s">
        <v>868</v>
      </c>
      <c r="C10" s="547">
        <v>0</v>
      </c>
      <c r="D10" s="547"/>
      <c r="E10" s="547"/>
      <c r="F10" s="547"/>
      <c r="G10" s="547"/>
      <c r="H10" s="108" t="s">
        <v>855</v>
      </c>
      <c r="I10" s="232">
        <v>-1000</v>
      </c>
    </row>
    <row r="11" spans="1:11" ht="15.95">
      <c r="A11" s="558" t="s">
        <v>869</v>
      </c>
      <c r="B11" s="545" t="s">
        <v>870</v>
      </c>
      <c r="C11" s="547">
        <v>-12000</v>
      </c>
      <c r="D11" s="547">
        <v>-4595</v>
      </c>
      <c r="E11" s="547">
        <f>-18000-10000-5000</f>
        <v>-33000</v>
      </c>
      <c r="F11" s="547">
        <f>-18000-10000-5000</f>
        <v>-33000</v>
      </c>
      <c r="G11" s="547"/>
      <c r="H11" s="108"/>
      <c r="I11" s="232"/>
    </row>
    <row r="12" spans="1:11" ht="17.100000000000001" thickBot="1">
      <c r="A12" s="558" t="s">
        <v>871</v>
      </c>
      <c r="B12" s="545" t="s">
        <v>872</v>
      </c>
      <c r="C12" s="547">
        <v>0</v>
      </c>
      <c r="D12" s="547">
        <v>-4500</v>
      </c>
      <c r="E12" s="547">
        <v>-15000</v>
      </c>
      <c r="F12" s="547">
        <v>-15000</v>
      </c>
      <c r="G12" s="547">
        <v>-20000</v>
      </c>
      <c r="H12" s="108">
        <v>-25000</v>
      </c>
      <c r="I12" s="232">
        <v>-25000</v>
      </c>
    </row>
    <row r="13" spans="1:11" ht="15.95">
      <c r="A13" s="574" t="s">
        <v>873</v>
      </c>
      <c r="B13" s="575"/>
      <c r="C13" s="578">
        <f>SUM(C14:C54)</f>
        <v>305347</v>
      </c>
      <c r="D13" s="578">
        <f>SUM(D14:D54)</f>
        <v>234451</v>
      </c>
      <c r="E13" s="578">
        <f>SUM(E14:E54)</f>
        <v>324784</v>
      </c>
      <c r="F13" s="578">
        <f>SUM(F14:F54)</f>
        <v>394324.53</v>
      </c>
      <c r="G13" s="578">
        <f>SUM(G14:G54)</f>
        <v>345600</v>
      </c>
      <c r="H13" s="578">
        <f>SUM(H14:H53)</f>
        <v>325100</v>
      </c>
      <c r="I13" s="579">
        <f>SUM(I14:I53)</f>
        <v>333450</v>
      </c>
    </row>
    <row r="14" spans="1:11" ht="15.95">
      <c r="A14" s="558" t="s">
        <v>874</v>
      </c>
      <c r="B14" s="545" t="s">
        <v>875</v>
      </c>
      <c r="C14" s="547">
        <v>144731</v>
      </c>
      <c r="D14" s="547">
        <v>89583</v>
      </c>
      <c r="E14" s="546">
        <v>114832</v>
      </c>
      <c r="F14" s="546">
        <v>168386.21</v>
      </c>
      <c r="G14" s="546">
        <f>175000-56000-3000</f>
        <v>116000</v>
      </c>
      <c r="H14" s="567">
        <v>190000</v>
      </c>
      <c r="I14" s="568">
        <v>190000</v>
      </c>
      <c r="K14" s="567"/>
    </row>
    <row r="15" spans="1:11" ht="15.95">
      <c r="A15" s="558" t="s">
        <v>876</v>
      </c>
      <c r="B15" s="545" t="s">
        <v>877</v>
      </c>
      <c r="C15" s="547">
        <v>49950</v>
      </c>
      <c r="D15" s="547">
        <v>51480</v>
      </c>
      <c r="E15" s="546">
        <v>73980</v>
      </c>
      <c r="F15" s="546">
        <v>73980</v>
      </c>
      <c r="G15" s="546">
        <f>55440+67760</f>
        <v>123200</v>
      </c>
      <c r="H15" s="567">
        <v>1000</v>
      </c>
      <c r="I15" s="568">
        <v>10000</v>
      </c>
    </row>
    <row r="16" spans="1:11" ht="15.95">
      <c r="A16" s="558" t="s">
        <v>878</v>
      </c>
      <c r="B16" s="545" t="s">
        <v>879</v>
      </c>
      <c r="C16" s="547"/>
      <c r="D16" s="547"/>
      <c r="E16" s="546"/>
      <c r="F16" s="546"/>
      <c r="G16" s="546"/>
      <c r="H16" s="567">
        <v>25000</v>
      </c>
      <c r="I16" s="568">
        <v>25000</v>
      </c>
    </row>
    <row r="17" spans="1:9" ht="15.95">
      <c r="A17" s="558" t="s">
        <v>880</v>
      </c>
      <c r="B17" s="545" t="s">
        <v>881</v>
      </c>
      <c r="C17" s="547">
        <v>71381</v>
      </c>
      <c r="D17" s="547">
        <v>41488</v>
      </c>
      <c r="E17" s="546">
        <v>50572</v>
      </c>
      <c r="F17" s="546">
        <v>66558.320000000007</v>
      </c>
      <c r="G17" s="546">
        <f>28600</f>
        <v>28600</v>
      </c>
      <c r="H17" s="567">
        <v>25000</v>
      </c>
      <c r="I17" s="568">
        <v>25000</v>
      </c>
    </row>
    <row r="18" spans="1:9" ht="15.95">
      <c r="A18" s="558" t="s">
        <v>882</v>
      </c>
      <c r="B18" s="545" t="s">
        <v>883</v>
      </c>
      <c r="C18" s="547"/>
      <c r="D18" s="547">
        <v>4000</v>
      </c>
      <c r="E18" s="546">
        <v>6000</v>
      </c>
      <c r="F18" s="546">
        <v>6000</v>
      </c>
      <c r="G18" s="546">
        <v>10000</v>
      </c>
      <c r="H18" s="567"/>
      <c r="I18" s="568"/>
    </row>
    <row r="19" spans="1:9" ht="15.95">
      <c r="A19" s="558" t="s">
        <v>884</v>
      </c>
      <c r="B19" s="545" t="s">
        <v>885</v>
      </c>
      <c r="C19" s="547">
        <v>1170</v>
      </c>
      <c r="D19" s="547"/>
      <c r="E19" s="546">
        <v>0</v>
      </c>
      <c r="F19" s="546">
        <v>0</v>
      </c>
      <c r="G19" s="546">
        <v>5000</v>
      </c>
      <c r="H19" s="567"/>
      <c r="I19" s="568"/>
    </row>
    <row r="20" spans="1:9" ht="15.95">
      <c r="A20" s="558" t="s">
        <v>886</v>
      </c>
      <c r="B20" s="545" t="s">
        <v>887</v>
      </c>
      <c r="C20" s="547">
        <v>2160</v>
      </c>
      <c r="D20" s="547">
        <v>1500</v>
      </c>
      <c r="E20" s="546">
        <f>3000-1500</f>
        <v>1500</v>
      </c>
      <c r="F20" s="546">
        <f>3000-1500</f>
        <v>1500</v>
      </c>
      <c r="G20" s="546">
        <f>3000-1500</f>
        <v>1500</v>
      </c>
      <c r="H20" s="567">
        <v>1500</v>
      </c>
      <c r="I20" s="568">
        <v>1500</v>
      </c>
    </row>
    <row r="21" spans="1:9" ht="15.95">
      <c r="A21" s="558" t="s">
        <v>888</v>
      </c>
      <c r="B21" s="545" t="s">
        <v>889</v>
      </c>
      <c r="C21" s="547"/>
      <c r="D21" s="547">
        <v>300</v>
      </c>
      <c r="E21" s="546">
        <v>300</v>
      </c>
      <c r="F21" s="546">
        <v>300</v>
      </c>
      <c r="G21" s="546">
        <v>300</v>
      </c>
      <c r="H21" s="567">
        <v>300</v>
      </c>
      <c r="I21" s="568">
        <v>300</v>
      </c>
    </row>
    <row r="22" spans="1:9" ht="15.95">
      <c r="A22" s="558" t="s">
        <v>890</v>
      </c>
      <c r="B22" s="545" t="s">
        <v>891</v>
      </c>
      <c r="C22" s="547"/>
      <c r="D22" s="547">
        <v>200</v>
      </c>
      <c r="E22" s="546">
        <v>500</v>
      </c>
      <c r="F22" s="546">
        <v>500</v>
      </c>
      <c r="G22" s="546">
        <v>500</v>
      </c>
      <c r="H22" s="567">
        <v>100</v>
      </c>
      <c r="I22" s="568">
        <v>100</v>
      </c>
    </row>
    <row r="23" spans="1:9" ht="15.95">
      <c r="A23" s="558" t="s">
        <v>892</v>
      </c>
      <c r="B23" s="545" t="s">
        <v>893</v>
      </c>
      <c r="C23" s="547">
        <v>250</v>
      </c>
      <c r="D23" s="547">
        <v>1500</v>
      </c>
      <c r="E23" s="546">
        <v>3000</v>
      </c>
      <c r="F23" s="546">
        <v>3000</v>
      </c>
      <c r="G23" s="546">
        <v>3000</v>
      </c>
      <c r="H23" s="567" t="s">
        <v>855</v>
      </c>
      <c r="I23" s="568" t="s">
        <v>855</v>
      </c>
    </row>
    <row r="24" spans="1:9" ht="15.95">
      <c r="A24" s="558" t="s">
        <v>894</v>
      </c>
      <c r="B24" s="545" t="s">
        <v>895</v>
      </c>
      <c r="C24" s="547"/>
      <c r="D24" s="547">
        <v>200</v>
      </c>
      <c r="E24" s="546">
        <v>200</v>
      </c>
      <c r="F24" s="546">
        <v>200</v>
      </c>
      <c r="G24" s="546">
        <v>200</v>
      </c>
      <c r="H24" s="567"/>
      <c r="I24" s="568"/>
    </row>
    <row r="25" spans="1:9" ht="15.95">
      <c r="A25" s="558" t="s">
        <v>896</v>
      </c>
      <c r="B25" s="545" t="s">
        <v>897</v>
      </c>
      <c r="C25" s="547"/>
      <c r="D25" s="547">
        <v>200</v>
      </c>
      <c r="E25" s="546">
        <v>200</v>
      </c>
      <c r="F25" s="546">
        <v>200</v>
      </c>
      <c r="G25" s="546">
        <v>200</v>
      </c>
      <c r="H25" s="567">
        <v>400</v>
      </c>
      <c r="I25" s="568">
        <v>300</v>
      </c>
    </row>
    <row r="26" spans="1:9" ht="15.95">
      <c r="A26" s="558" t="s">
        <v>898</v>
      </c>
      <c r="B26" s="545" t="s">
        <v>899</v>
      </c>
      <c r="C26" s="547">
        <v>6650</v>
      </c>
      <c r="D26" s="547">
        <v>500</v>
      </c>
      <c r="E26" s="546">
        <v>1500</v>
      </c>
      <c r="F26" s="546">
        <v>1500</v>
      </c>
      <c r="G26" s="546">
        <v>1500</v>
      </c>
      <c r="H26" s="567">
        <v>2500</v>
      </c>
      <c r="I26" s="568">
        <v>5000</v>
      </c>
    </row>
    <row r="27" spans="1:9" ht="15.95">
      <c r="A27" s="558" t="s">
        <v>900</v>
      </c>
      <c r="B27" s="545" t="s">
        <v>901</v>
      </c>
      <c r="C27" s="547">
        <v>200</v>
      </c>
      <c r="D27" s="547">
        <v>3000</v>
      </c>
      <c r="E27" s="569">
        <v>5000</v>
      </c>
      <c r="F27" s="569">
        <v>5000</v>
      </c>
      <c r="G27" s="569">
        <v>3000</v>
      </c>
      <c r="H27" s="567"/>
      <c r="I27" s="568"/>
    </row>
    <row r="28" spans="1:9" ht="15.95">
      <c r="A28" s="558" t="s">
        <v>902</v>
      </c>
      <c r="B28" s="545" t="s">
        <v>903</v>
      </c>
      <c r="C28" s="547"/>
      <c r="D28" s="547">
        <v>500</v>
      </c>
      <c r="E28" s="546">
        <v>1500</v>
      </c>
      <c r="F28" s="546">
        <v>1500</v>
      </c>
      <c r="G28" s="546">
        <v>3000</v>
      </c>
      <c r="H28" s="567"/>
      <c r="I28" s="568"/>
    </row>
    <row r="29" spans="1:9" ht="15.95">
      <c r="A29" s="558" t="s">
        <v>904</v>
      </c>
      <c r="B29" s="545" t="s">
        <v>905</v>
      </c>
      <c r="C29" s="547">
        <v>1000</v>
      </c>
      <c r="D29" s="547">
        <v>8000</v>
      </c>
      <c r="E29" s="546">
        <v>4000</v>
      </c>
      <c r="F29" s="546">
        <v>4000</v>
      </c>
      <c r="G29" s="546">
        <v>4000</v>
      </c>
      <c r="H29" s="567"/>
    </row>
    <row r="30" spans="1:9" ht="15.95">
      <c r="A30" s="558" t="s">
        <v>906</v>
      </c>
      <c r="B30" s="545" t="s">
        <v>907</v>
      </c>
      <c r="C30" s="547">
        <v>1450</v>
      </c>
      <c r="D30" s="547"/>
      <c r="E30" s="546">
        <v>0</v>
      </c>
      <c r="F30" s="546">
        <v>0</v>
      </c>
      <c r="G30" s="546">
        <v>0</v>
      </c>
      <c r="H30" s="567"/>
      <c r="I30" s="568"/>
    </row>
    <row r="31" spans="1:9" ht="15.95">
      <c r="A31" s="558" t="s">
        <v>908</v>
      </c>
      <c r="B31" s="545" t="s">
        <v>909</v>
      </c>
      <c r="C31" s="547"/>
      <c r="D31" s="547">
        <v>6500</v>
      </c>
      <c r="E31" s="546">
        <v>8000</v>
      </c>
      <c r="F31" s="546">
        <v>8000</v>
      </c>
      <c r="G31" s="546">
        <v>6500</v>
      </c>
      <c r="H31" s="567">
        <v>10000</v>
      </c>
      <c r="I31" s="568">
        <v>10000</v>
      </c>
    </row>
    <row r="32" spans="1:9" ht="15.95">
      <c r="A32" s="558" t="s">
        <v>910</v>
      </c>
      <c r="B32" s="545" t="s">
        <v>911</v>
      </c>
      <c r="C32" s="547">
        <v>4300</v>
      </c>
      <c r="D32" s="547">
        <v>1000</v>
      </c>
      <c r="E32" s="546">
        <v>6000</v>
      </c>
      <c r="F32" s="546">
        <v>6000</v>
      </c>
      <c r="G32" s="546">
        <v>5000</v>
      </c>
      <c r="H32" s="567">
        <v>5000</v>
      </c>
      <c r="I32" s="568" t="s">
        <v>855</v>
      </c>
    </row>
    <row r="33" spans="1:9" ht="15.95">
      <c r="A33" s="558" t="s">
        <v>912</v>
      </c>
      <c r="B33" s="545" t="s">
        <v>913</v>
      </c>
      <c r="C33" s="547">
        <v>1700</v>
      </c>
      <c r="D33" s="547">
        <v>2000</v>
      </c>
      <c r="E33" s="546">
        <v>4000</v>
      </c>
      <c r="F33" s="546">
        <v>4000</v>
      </c>
      <c r="G33" s="546">
        <v>3000</v>
      </c>
      <c r="H33" s="567"/>
      <c r="I33" s="568"/>
    </row>
    <row r="34" spans="1:9" ht="15.95">
      <c r="A34" s="558" t="s">
        <v>914</v>
      </c>
      <c r="B34" s="545" t="s">
        <v>915</v>
      </c>
      <c r="C34" s="547">
        <v>1000</v>
      </c>
      <c r="D34" s="547"/>
      <c r="E34" s="546">
        <v>2000</v>
      </c>
      <c r="F34" s="546">
        <v>2000</v>
      </c>
      <c r="G34" s="546">
        <v>1500</v>
      </c>
      <c r="H34" s="567"/>
      <c r="I34" s="568"/>
    </row>
    <row r="35" spans="1:9" ht="15.95">
      <c r="A35" s="558" t="s">
        <v>916</v>
      </c>
      <c r="B35" s="545" t="s">
        <v>917</v>
      </c>
      <c r="C35" s="547">
        <v>250</v>
      </c>
      <c r="D35" s="547">
        <v>2500</v>
      </c>
      <c r="E35" s="546">
        <v>5000</v>
      </c>
      <c r="F35" s="546">
        <v>5000</v>
      </c>
      <c r="G35" s="546">
        <v>5000</v>
      </c>
      <c r="H35" s="567">
        <v>10000</v>
      </c>
      <c r="I35" s="568">
        <v>9000</v>
      </c>
    </row>
    <row r="36" spans="1:9" ht="15.95">
      <c r="A36" s="558" t="s">
        <v>918</v>
      </c>
      <c r="B36" s="545" t="s">
        <v>919</v>
      </c>
      <c r="C36" s="547"/>
      <c r="D36" s="547">
        <v>1500</v>
      </c>
      <c r="E36" s="546">
        <v>2200</v>
      </c>
      <c r="F36" s="546">
        <v>2200</v>
      </c>
      <c r="G36" s="546">
        <v>1500</v>
      </c>
      <c r="H36" s="567">
        <v>2500</v>
      </c>
      <c r="I36" s="568">
        <v>2500</v>
      </c>
    </row>
    <row r="37" spans="1:9" ht="15.95">
      <c r="A37" s="558" t="s">
        <v>920</v>
      </c>
      <c r="B37" s="545" t="s">
        <v>921</v>
      </c>
      <c r="C37" s="547"/>
      <c r="D37" s="547">
        <v>0</v>
      </c>
      <c r="E37" s="546">
        <v>1000</v>
      </c>
      <c r="F37" s="546">
        <v>1000</v>
      </c>
      <c r="G37" s="546">
        <v>0</v>
      </c>
      <c r="H37" s="567"/>
      <c r="I37" s="568"/>
    </row>
    <row r="38" spans="1:9" ht="15.95">
      <c r="A38" s="558" t="s">
        <v>922</v>
      </c>
      <c r="B38" s="545" t="s">
        <v>921</v>
      </c>
      <c r="C38" s="547">
        <v>1000</v>
      </c>
      <c r="D38" s="547">
        <v>1500</v>
      </c>
      <c r="E38" s="546">
        <v>2000</v>
      </c>
      <c r="F38" s="546">
        <v>2000</v>
      </c>
      <c r="G38" s="546">
        <v>2000</v>
      </c>
      <c r="H38" s="567"/>
      <c r="I38" s="568"/>
    </row>
    <row r="39" spans="1:9" ht="15.95">
      <c r="A39" s="558" t="s">
        <v>923</v>
      </c>
      <c r="B39" s="545" t="s">
        <v>924</v>
      </c>
      <c r="C39" s="547"/>
      <c r="D39" s="547">
        <v>1000</v>
      </c>
      <c r="E39" s="546">
        <v>1000</v>
      </c>
      <c r="F39" s="546">
        <v>1000</v>
      </c>
      <c r="G39" s="546">
        <v>1000</v>
      </c>
      <c r="H39" s="567">
        <v>2000</v>
      </c>
      <c r="I39" s="568">
        <v>2000</v>
      </c>
    </row>
    <row r="40" spans="1:9" ht="15.95">
      <c r="A40" s="558" t="s">
        <v>925</v>
      </c>
      <c r="B40" s="545" t="s">
        <v>926</v>
      </c>
      <c r="C40" s="547"/>
      <c r="D40" s="547">
        <v>500</v>
      </c>
      <c r="E40" s="546">
        <v>1000</v>
      </c>
      <c r="F40" s="546">
        <v>1000</v>
      </c>
      <c r="G40" s="546">
        <v>1000</v>
      </c>
      <c r="H40" s="567" t="s">
        <v>855</v>
      </c>
      <c r="I40" s="568" t="s">
        <v>855</v>
      </c>
    </row>
    <row r="41" spans="1:9" ht="15.95">
      <c r="A41" s="558" t="s">
        <v>927</v>
      </c>
      <c r="B41" s="545" t="s">
        <v>928</v>
      </c>
      <c r="C41" s="547">
        <v>480</v>
      </c>
      <c r="D41" s="547">
        <v>1500</v>
      </c>
      <c r="E41" s="546">
        <v>1500</v>
      </c>
      <c r="F41" s="546">
        <v>1500</v>
      </c>
      <c r="G41" s="546">
        <v>1500</v>
      </c>
      <c r="H41" s="567">
        <v>2500</v>
      </c>
      <c r="I41" s="568">
        <v>2500</v>
      </c>
    </row>
    <row r="42" spans="1:9" ht="15.95">
      <c r="A42" s="558" t="s">
        <v>929</v>
      </c>
      <c r="B42" s="545" t="s">
        <v>930</v>
      </c>
      <c r="C42" s="547"/>
      <c r="D42" s="547">
        <v>500</v>
      </c>
      <c r="E42" s="546">
        <v>1000</v>
      </c>
      <c r="F42" s="546">
        <v>1000</v>
      </c>
      <c r="G42" s="546"/>
      <c r="H42" s="567"/>
      <c r="I42" s="568"/>
    </row>
    <row r="43" spans="1:9" ht="15.95">
      <c r="A43" s="558" t="s">
        <v>931</v>
      </c>
      <c r="B43" s="545" t="s">
        <v>932</v>
      </c>
      <c r="C43" s="547">
        <v>2000</v>
      </c>
      <c r="D43" s="547">
        <v>2500</v>
      </c>
      <c r="E43" s="546">
        <v>5000</v>
      </c>
      <c r="F43" s="546">
        <v>5000</v>
      </c>
      <c r="G43" s="546">
        <v>600</v>
      </c>
      <c r="H43" s="567">
        <v>1300</v>
      </c>
      <c r="I43" s="568">
        <v>1250</v>
      </c>
    </row>
    <row r="44" spans="1:9" ht="15.95">
      <c r="A44" s="558" t="s">
        <v>933</v>
      </c>
      <c r="B44" s="545" t="s">
        <v>934</v>
      </c>
      <c r="C44" s="547">
        <v>2500</v>
      </c>
      <c r="D44" s="547">
        <v>2000</v>
      </c>
      <c r="E44" s="546">
        <v>0</v>
      </c>
      <c r="F44" s="546">
        <v>0</v>
      </c>
      <c r="G44" s="546">
        <v>0</v>
      </c>
      <c r="H44" s="567" t="s">
        <v>855</v>
      </c>
      <c r="I44" s="568" t="s">
        <v>855</v>
      </c>
    </row>
    <row r="45" spans="1:9" ht="15.95">
      <c r="A45" s="558" t="s">
        <v>935</v>
      </c>
      <c r="B45" s="545" t="s">
        <v>936</v>
      </c>
      <c r="C45" s="547"/>
      <c r="D45" s="547"/>
      <c r="E45" s="546">
        <v>0</v>
      </c>
      <c r="F45" s="546">
        <v>0</v>
      </c>
      <c r="G45" s="546">
        <v>0</v>
      </c>
      <c r="H45" s="567">
        <v>8000</v>
      </c>
      <c r="I45" s="568">
        <v>9000</v>
      </c>
    </row>
    <row r="46" spans="1:9" ht="15.95">
      <c r="A46" s="558" t="s">
        <v>937</v>
      </c>
      <c r="B46" s="545" t="s">
        <v>938</v>
      </c>
      <c r="C46" s="547">
        <v>1125</v>
      </c>
      <c r="D46" s="547"/>
      <c r="E46" s="546">
        <v>0</v>
      </c>
      <c r="F46" s="546">
        <v>0</v>
      </c>
      <c r="G46" s="546">
        <v>0</v>
      </c>
      <c r="H46" s="567"/>
      <c r="I46" s="568"/>
    </row>
    <row r="47" spans="1:9" ht="15.95">
      <c r="A47" s="558" t="s">
        <v>939</v>
      </c>
      <c r="B47" s="545" t="s">
        <v>940</v>
      </c>
      <c r="C47" s="547"/>
      <c r="D47" s="547"/>
      <c r="E47" s="569">
        <v>5000</v>
      </c>
      <c r="F47" s="569">
        <v>5000</v>
      </c>
      <c r="G47" s="569">
        <v>4000</v>
      </c>
      <c r="H47" s="567"/>
      <c r="I47" s="568"/>
    </row>
    <row r="48" spans="1:9" ht="15.95">
      <c r="A48" s="558" t="s">
        <v>941</v>
      </c>
      <c r="B48" s="545" t="s">
        <v>942</v>
      </c>
      <c r="C48" s="547">
        <v>1000</v>
      </c>
      <c r="D48" s="547">
        <v>500</v>
      </c>
      <c r="E48" s="546">
        <v>1000</v>
      </c>
      <c r="F48" s="546">
        <v>1000</v>
      </c>
      <c r="G48" s="546">
        <v>1000</v>
      </c>
      <c r="H48" s="567">
        <v>3000</v>
      </c>
      <c r="I48" s="568">
        <v>5000</v>
      </c>
    </row>
    <row r="49" spans="1:9" ht="15.95">
      <c r="A49" s="558" t="s">
        <v>943</v>
      </c>
      <c r="B49" s="545" t="s">
        <v>944</v>
      </c>
      <c r="C49" s="547">
        <v>5000</v>
      </c>
      <c r="D49" s="547">
        <v>5000</v>
      </c>
      <c r="E49" s="546">
        <v>10000</v>
      </c>
      <c r="F49" s="546">
        <v>10000</v>
      </c>
      <c r="G49" s="546">
        <v>6000</v>
      </c>
      <c r="H49" s="567">
        <v>5000</v>
      </c>
      <c r="I49" s="568">
        <v>5000</v>
      </c>
    </row>
    <row r="50" spans="1:9" ht="15.95">
      <c r="A50" s="558" t="s">
        <v>945</v>
      </c>
      <c r="B50" s="545" t="s">
        <v>946</v>
      </c>
      <c r="C50" s="547">
        <v>5650</v>
      </c>
      <c r="D50" s="547">
        <v>2500</v>
      </c>
      <c r="E50" s="546">
        <v>5000</v>
      </c>
      <c r="F50" s="546">
        <v>5000</v>
      </c>
      <c r="G50" s="546">
        <v>5000</v>
      </c>
      <c r="H50" s="567"/>
      <c r="I50" s="568"/>
    </row>
    <row r="51" spans="1:9" ht="15.95">
      <c r="A51" s="558" t="s">
        <v>947</v>
      </c>
      <c r="B51" s="545" t="s">
        <v>948</v>
      </c>
      <c r="C51" s="547">
        <v>400</v>
      </c>
      <c r="D51" s="547"/>
      <c r="E51" s="546"/>
      <c r="F51" s="546"/>
      <c r="G51" s="546"/>
      <c r="H51" s="567" t="s">
        <v>855</v>
      </c>
      <c r="I51" s="568" t="s">
        <v>855</v>
      </c>
    </row>
    <row r="52" spans="1:9" ht="15.95">
      <c r="A52" s="558" t="s">
        <v>949</v>
      </c>
      <c r="B52" s="545" t="s">
        <v>950</v>
      </c>
      <c r="C52" s="547"/>
      <c r="D52" s="547"/>
      <c r="E52" s="546">
        <v>0</v>
      </c>
      <c r="F52" s="546">
        <v>0</v>
      </c>
      <c r="G52" s="546">
        <v>0</v>
      </c>
      <c r="H52" s="567">
        <v>30000</v>
      </c>
      <c r="I52" s="568">
        <v>30000</v>
      </c>
    </row>
    <row r="53" spans="1:9" ht="15.95">
      <c r="A53" s="558" t="s">
        <v>951</v>
      </c>
      <c r="B53" s="545" t="s">
        <v>952</v>
      </c>
      <c r="C53" s="547"/>
      <c r="D53" s="547"/>
      <c r="E53" s="546"/>
      <c r="F53" s="546"/>
      <c r="G53" s="546"/>
      <c r="H53" s="567" t="s">
        <v>855</v>
      </c>
      <c r="I53" s="568" t="s">
        <v>855</v>
      </c>
    </row>
    <row r="54" spans="1:9" ht="15.95">
      <c r="A54" s="570" t="s">
        <v>953</v>
      </c>
      <c r="B54" s="571" t="s">
        <v>954</v>
      </c>
      <c r="C54" s="757">
        <v>0</v>
      </c>
      <c r="D54" s="757">
        <v>1000</v>
      </c>
      <c r="E54" s="546">
        <v>1000</v>
      </c>
      <c r="F54" s="546">
        <v>1000</v>
      </c>
      <c r="G54" s="546">
        <v>1000</v>
      </c>
      <c r="H54" s="8"/>
      <c r="I54" s="572"/>
    </row>
    <row r="55" spans="1:9" ht="17.100000000000001" thickBot="1">
      <c r="A55" s="556" t="s">
        <v>955</v>
      </c>
      <c r="B55" s="543" t="s">
        <v>855</v>
      </c>
      <c r="C55" s="548">
        <f t="shared" ref="C55:I55" si="1">C13+C3</f>
        <v>288347</v>
      </c>
      <c r="D55" s="548">
        <f t="shared" si="1"/>
        <v>212514</v>
      </c>
      <c r="E55" s="548">
        <f t="shared" si="1"/>
        <v>258784</v>
      </c>
      <c r="F55" s="548">
        <f t="shared" si="1"/>
        <v>328324.53000000003</v>
      </c>
      <c r="G55" s="548">
        <f t="shared" si="1"/>
        <v>239600</v>
      </c>
      <c r="H55" s="548">
        <f t="shared" si="1"/>
        <v>244100</v>
      </c>
      <c r="I55" s="559">
        <f t="shared" si="1"/>
        <v>242450</v>
      </c>
    </row>
    <row r="56" spans="1:9">
      <c r="A56" s="580" t="s">
        <v>73</v>
      </c>
      <c r="B56" s="575">
        <v>1193</v>
      </c>
      <c r="C56" s="576"/>
      <c r="D56" s="576"/>
      <c r="E56" s="575"/>
      <c r="F56" s="578"/>
      <c r="G56" s="578"/>
      <c r="H56" s="578"/>
      <c r="I56" s="581"/>
    </row>
    <row r="57" spans="1:9">
      <c r="A57" s="560" t="s">
        <v>956</v>
      </c>
      <c r="B57" s="543" t="s">
        <v>855</v>
      </c>
      <c r="C57" s="544">
        <f t="shared" ref="C57:E57" si="2">SUM(C58:C60)</f>
        <v>0</v>
      </c>
      <c r="D57" s="544"/>
      <c r="E57" s="544">
        <f t="shared" si="2"/>
        <v>0</v>
      </c>
      <c r="F57" s="544">
        <f>SUM(F58:F60)</f>
        <v>0</v>
      </c>
      <c r="G57" s="544">
        <f>SUM(G58:G60)</f>
        <v>-48000</v>
      </c>
      <c r="H57" s="544">
        <f>SUM(H58:H60)</f>
        <v>-345000</v>
      </c>
      <c r="I57" s="557">
        <f>SUM(I58:I60)</f>
        <v>-290602.79000000004</v>
      </c>
    </row>
    <row r="58" spans="1:9">
      <c r="A58" s="195" t="s">
        <v>957</v>
      </c>
      <c r="B58" s="545" t="s">
        <v>958</v>
      </c>
      <c r="C58" s="546">
        <v>0</v>
      </c>
      <c r="D58" s="546"/>
      <c r="E58" s="546">
        <v>0</v>
      </c>
      <c r="F58" s="546">
        <v>0</v>
      </c>
      <c r="G58" s="546">
        <v>0</v>
      </c>
      <c r="H58" s="547">
        <v>-250000</v>
      </c>
      <c r="I58" s="232">
        <v>-250925.2</v>
      </c>
    </row>
    <row r="59" spans="1:9">
      <c r="A59" s="195" t="s">
        <v>865</v>
      </c>
      <c r="B59" s="545" t="s">
        <v>959</v>
      </c>
      <c r="C59" s="547">
        <v>0</v>
      </c>
      <c r="D59" s="547"/>
      <c r="E59" s="547">
        <v>0</v>
      </c>
      <c r="F59" s="547">
        <v>0</v>
      </c>
      <c r="G59" s="547">
        <f>-35000-13000</f>
        <v>-48000</v>
      </c>
      <c r="H59" s="547">
        <v>-60000</v>
      </c>
      <c r="I59" s="232">
        <v>-14527.5</v>
      </c>
    </row>
    <row r="60" spans="1:9" ht="15.95" thickBot="1">
      <c r="A60" s="195" t="s">
        <v>960</v>
      </c>
      <c r="B60" s="545" t="s">
        <v>961</v>
      </c>
      <c r="C60" s="547">
        <v>0</v>
      </c>
      <c r="D60" s="547"/>
      <c r="E60" s="547">
        <v>0</v>
      </c>
      <c r="F60" s="547">
        <v>0</v>
      </c>
      <c r="G60" s="547">
        <v>0</v>
      </c>
      <c r="H60" s="547">
        <v>-35000</v>
      </c>
      <c r="I60" s="232">
        <v>-25150.09</v>
      </c>
    </row>
    <row r="61" spans="1:9">
      <c r="A61" s="580" t="s">
        <v>873</v>
      </c>
      <c r="B61" s="575"/>
      <c r="C61" s="576"/>
      <c r="D61" s="576"/>
      <c r="E61" s="575"/>
      <c r="F61" s="578">
        <f>SUM(F62:F84)</f>
        <v>0</v>
      </c>
      <c r="G61" s="578">
        <f>SUM(G62:G84)</f>
        <v>101200</v>
      </c>
      <c r="H61" s="578">
        <f>SUM(H62:H84)</f>
        <v>458600</v>
      </c>
      <c r="I61" s="579">
        <f t="shared" ref="I61" si="3">SUM(I62:I84)</f>
        <v>583347.82999999996</v>
      </c>
    </row>
    <row r="62" spans="1:9">
      <c r="A62" s="195" t="s">
        <v>874</v>
      </c>
      <c r="B62" s="545" t="s">
        <v>962</v>
      </c>
      <c r="C62" s="547">
        <v>0</v>
      </c>
      <c r="D62" s="547"/>
      <c r="E62" s="547">
        <v>0</v>
      </c>
      <c r="F62" s="547">
        <v>0</v>
      </c>
      <c r="G62" s="546"/>
      <c r="H62" s="546">
        <v>5000</v>
      </c>
      <c r="I62" s="568">
        <v>2902.25</v>
      </c>
    </row>
    <row r="63" spans="1:9">
      <c r="A63" s="195" t="s">
        <v>876</v>
      </c>
      <c r="B63" s="545" t="s">
        <v>963</v>
      </c>
      <c r="C63" s="547">
        <v>0</v>
      </c>
      <c r="D63" s="547"/>
      <c r="E63" s="547">
        <v>0</v>
      </c>
      <c r="F63" s="547">
        <v>0</v>
      </c>
      <c r="G63" s="546">
        <v>9000</v>
      </c>
      <c r="H63" s="546"/>
      <c r="I63" s="568">
        <v>240</v>
      </c>
    </row>
    <row r="64" spans="1:9">
      <c r="A64" s="195" t="s">
        <v>882</v>
      </c>
      <c r="B64" s="545" t="s">
        <v>964</v>
      </c>
      <c r="C64" s="547">
        <v>0</v>
      </c>
      <c r="D64" s="547"/>
      <c r="E64" s="547">
        <v>0</v>
      </c>
      <c r="F64" s="547">
        <v>0</v>
      </c>
      <c r="G64" s="546">
        <v>7500</v>
      </c>
      <c r="H64" s="546"/>
      <c r="I64" s="568"/>
    </row>
    <row r="65" spans="1:9">
      <c r="A65" s="195" t="s">
        <v>965</v>
      </c>
      <c r="B65" s="545" t="s">
        <v>966</v>
      </c>
      <c r="C65" s="547">
        <v>0</v>
      </c>
      <c r="D65" s="547"/>
      <c r="E65" s="547">
        <v>0</v>
      </c>
      <c r="F65" s="547">
        <v>0</v>
      </c>
      <c r="G65" s="546">
        <v>11000</v>
      </c>
      <c r="H65" s="546">
        <v>15000</v>
      </c>
      <c r="I65" s="568">
        <v>19328.63</v>
      </c>
    </row>
    <row r="66" spans="1:9">
      <c r="A66" s="195" t="s">
        <v>933</v>
      </c>
      <c r="B66" s="545" t="s">
        <v>967</v>
      </c>
      <c r="C66" s="547">
        <v>0</v>
      </c>
      <c r="D66" s="547"/>
      <c r="E66" s="547">
        <v>0</v>
      </c>
      <c r="F66" s="547">
        <v>0</v>
      </c>
      <c r="G66" s="546">
        <v>3000</v>
      </c>
      <c r="H66" s="546"/>
      <c r="I66" s="568"/>
    </row>
    <row r="67" spans="1:9">
      <c r="A67" s="195" t="s">
        <v>886</v>
      </c>
      <c r="B67" s="545" t="s">
        <v>968</v>
      </c>
      <c r="C67" s="547">
        <v>0</v>
      </c>
      <c r="D67" s="547"/>
      <c r="E67" s="547">
        <v>0</v>
      </c>
      <c r="F67" s="547">
        <v>0</v>
      </c>
      <c r="G67" s="546"/>
      <c r="H67" s="546"/>
      <c r="I67" s="568">
        <v>42.8</v>
      </c>
    </row>
    <row r="68" spans="1:9">
      <c r="A68" s="195" t="s">
        <v>969</v>
      </c>
      <c r="B68" s="545" t="s">
        <v>970</v>
      </c>
      <c r="C68" s="547">
        <v>0</v>
      </c>
      <c r="D68" s="547"/>
      <c r="E68" s="547">
        <v>0</v>
      </c>
      <c r="F68" s="547">
        <v>0</v>
      </c>
      <c r="G68" s="546">
        <v>2000</v>
      </c>
      <c r="H68" s="546">
        <v>15000</v>
      </c>
      <c r="I68" s="568">
        <v>7210.08</v>
      </c>
    </row>
    <row r="69" spans="1:9">
      <c r="A69" s="195" t="s">
        <v>896</v>
      </c>
      <c r="B69" s="545" t="s">
        <v>971</v>
      </c>
      <c r="C69" s="547">
        <v>0</v>
      </c>
      <c r="D69" s="547"/>
      <c r="E69" s="547">
        <v>0</v>
      </c>
      <c r="F69" s="547">
        <v>0</v>
      </c>
      <c r="G69" s="546">
        <v>0</v>
      </c>
      <c r="H69" s="546">
        <v>100</v>
      </c>
      <c r="I69" s="568"/>
    </row>
    <row r="70" spans="1:9">
      <c r="A70" s="195" t="s">
        <v>902</v>
      </c>
      <c r="B70" s="545" t="s">
        <v>972</v>
      </c>
      <c r="C70" s="547">
        <v>0</v>
      </c>
      <c r="D70" s="547"/>
      <c r="E70" s="547">
        <v>0</v>
      </c>
      <c r="F70" s="547">
        <v>0</v>
      </c>
      <c r="G70" s="546">
        <v>2000</v>
      </c>
      <c r="H70" s="546"/>
      <c r="I70" s="568"/>
    </row>
    <row r="71" spans="1:9">
      <c r="A71" s="195" t="s">
        <v>910</v>
      </c>
      <c r="B71" s="545" t="s">
        <v>973</v>
      </c>
      <c r="C71" s="547">
        <v>0</v>
      </c>
      <c r="D71" s="547"/>
      <c r="E71" s="547">
        <v>0</v>
      </c>
      <c r="F71" s="547">
        <v>0</v>
      </c>
      <c r="G71" s="546">
        <v>7000</v>
      </c>
      <c r="H71" s="546">
        <v>1500</v>
      </c>
      <c r="I71" s="568"/>
    </row>
    <row r="72" spans="1:9">
      <c r="A72" s="195" t="s">
        <v>912</v>
      </c>
      <c r="B72" s="545" t="s">
        <v>974</v>
      </c>
      <c r="C72" s="547">
        <v>0</v>
      </c>
      <c r="D72" s="547"/>
      <c r="E72" s="547">
        <v>0</v>
      </c>
      <c r="F72" s="547">
        <v>0</v>
      </c>
      <c r="G72" s="546">
        <v>3200</v>
      </c>
      <c r="H72" s="546">
        <v>20000</v>
      </c>
      <c r="I72" s="568">
        <v>26121.59</v>
      </c>
    </row>
    <row r="73" spans="1:9">
      <c r="A73" s="195" t="s">
        <v>975</v>
      </c>
      <c r="B73" s="545" t="s">
        <v>976</v>
      </c>
      <c r="C73" s="547">
        <v>0</v>
      </c>
      <c r="D73" s="547"/>
      <c r="E73" s="547">
        <v>0</v>
      </c>
      <c r="F73" s="547">
        <v>0</v>
      </c>
      <c r="G73" s="546">
        <v>0</v>
      </c>
      <c r="H73" s="546">
        <v>10000</v>
      </c>
      <c r="I73" s="568">
        <v>8466.6</v>
      </c>
    </row>
    <row r="74" spans="1:9">
      <c r="A74" s="195" t="s">
        <v>916</v>
      </c>
      <c r="B74" s="545" t="s">
        <v>977</v>
      </c>
      <c r="C74" s="547">
        <v>0</v>
      </c>
      <c r="D74" s="547"/>
      <c r="E74" s="547">
        <v>0</v>
      </c>
      <c r="F74" s="547">
        <v>0</v>
      </c>
      <c r="G74" s="546">
        <v>2000</v>
      </c>
      <c r="H74" s="546">
        <f>10000-5000</f>
        <v>5000</v>
      </c>
      <c r="I74" s="568">
        <v>5193.29</v>
      </c>
    </row>
    <row r="75" spans="1:9">
      <c r="A75" s="195" t="s">
        <v>978</v>
      </c>
      <c r="B75" s="545" t="s">
        <v>979</v>
      </c>
      <c r="C75" s="547">
        <v>0</v>
      </c>
      <c r="D75" s="547"/>
      <c r="E75" s="547">
        <v>0</v>
      </c>
      <c r="F75" s="547">
        <v>0</v>
      </c>
      <c r="G75" s="546">
        <v>1500</v>
      </c>
      <c r="H75" s="546"/>
      <c r="I75" s="568"/>
    </row>
    <row r="76" spans="1:9">
      <c r="A76" s="195" t="s">
        <v>980</v>
      </c>
      <c r="B76" s="545" t="s">
        <v>981</v>
      </c>
      <c r="C76" s="547">
        <v>0</v>
      </c>
      <c r="D76" s="547"/>
      <c r="E76" s="547">
        <v>0</v>
      </c>
      <c r="F76" s="547">
        <v>0</v>
      </c>
      <c r="G76" s="546">
        <v>15000</v>
      </c>
      <c r="H76" s="546">
        <v>110000</v>
      </c>
      <c r="I76" s="568">
        <v>143201.04999999999</v>
      </c>
    </row>
    <row r="77" spans="1:9">
      <c r="A77" s="195" t="s">
        <v>980</v>
      </c>
      <c r="B77" s="545" t="s">
        <v>981</v>
      </c>
      <c r="C77" s="547">
        <v>0</v>
      </c>
      <c r="D77" s="547"/>
      <c r="E77" s="547">
        <v>0</v>
      </c>
      <c r="F77" s="547">
        <v>0</v>
      </c>
      <c r="G77" s="546"/>
      <c r="H77" s="546"/>
      <c r="I77" s="568"/>
    </row>
    <row r="78" spans="1:9">
      <c r="A78" s="195" t="s">
        <v>982</v>
      </c>
      <c r="B78" s="545" t="s">
        <v>983</v>
      </c>
      <c r="C78" s="547">
        <v>0</v>
      </c>
      <c r="D78" s="547"/>
      <c r="E78" s="547">
        <v>0</v>
      </c>
      <c r="F78" s="547">
        <v>0</v>
      </c>
      <c r="G78" s="546">
        <v>6000</v>
      </c>
      <c r="H78" s="546"/>
      <c r="I78" s="568"/>
    </row>
    <row r="79" spans="1:9">
      <c r="A79" s="195" t="s">
        <v>935</v>
      </c>
      <c r="B79" s="545" t="s">
        <v>984</v>
      </c>
      <c r="C79" s="547">
        <v>0</v>
      </c>
      <c r="D79" s="547"/>
      <c r="E79" s="547">
        <v>0</v>
      </c>
      <c r="F79" s="547">
        <v>0</v>
      </c>
      <c r="G79" s="546"/>
      <c r="H79" s="546"/>
      <c r="I79" s="568"/>
    </row>
    <row r="80" spans="1:9" ht="15.95">
      <c r="A80" s="558" t="s">
        <v>939</v>
      </c>
      <c r="B80" s="545" t="s">
        <v>985</v>
      </c>
      <c r="C80" s="547">
        <v>0</v>
      </c>
      <c r="D80" s="547"/>
      <c r="E80" s="547">
        <v>0</v>
      </c>
      <c r="F80" s="547">
        <v>0</v>
      </c>
      <c r="G80" s="546">
        <v>1500</v>
      </c>
      <c r="H80" s="546"/>
      <c r="I80" s="568"/>
    </row>
    <row r="81" spans="1:9">
      <c r="A81" s="195" t="s">
        <v>947</v>
      </c>
      <c r="B81" s="545" t="s">
        <v>986</v>
      </c>
      <c r="C81" s="547">
        <v>0</v>
      </c>
      <c r="D81" s="547"/>
      <c r="E81" s="547">
        <v>0</v>
      </c>
      <c r="F81" s="547">
        <v>0</v>
      </c>
      <c r="G81" s="546">
        <v>3500</v>
      </c>
      <c r="H81" s="546"/>
      <c r="I81" s="568"/>
    </row>
    <row r="82" spans="1:9">
      <c r="A82" s="195" t="s">
        <v>987</v>
      </c>
      <c r="B82" s="545" t="s">
        <v>988</v>
      </c>
      <c r="C82" s="547">
        <v>0</v>
      </c>
      <c r="D82" s="547"/>
      <c r="E82" s="547">
        <v>0</v>
      </c>
      <c r="F82" s="547">
        <v>0</v>
      </c>
      <c r="G82" s="546">
        <v>5000</v>
      </c>
      <c r="H82" s="546">
        <v>0</v>
      </c>
      <c r="I82" s="568"/>
    </row>
    <row r="83" spans="1:9">
      <c r="A83" s="195" t="s">
        <v>989</v>
      </c>
      <c r="B83" s="545" t="s">
        <v>990</v>
      </c>
      <c r="C83" s="547">
        <v>0</v>
      </c>
      <c r="D83" s="547"/>
      <c r="E83" s="547">
        <v>0</v>
      </c>
      <c r="F83" s="547">
        <v>0</v>
      </c>
      <c r="G83" s="546">
        <v>2000</v>
      </c>
      <c r="H83" s="546"/>
      <c r="I83" s="568"/>
    </row>
    <row r="84" spans="1:9">
      <c r="A84" s="195" t="s">
        <v>945</v>
      </c>
      <c r="B84" s="545" t="s">
        <v>991</v>
      </c>
      <c r="C84" s="547">
        <v>0</v>
      </c>
      <c r="D84" s="547"/>
      <c r="E84" s="547">
        <v>0</v>
      </c>
      <c r="F84" s="547">
        <v>0</v>
      </c>
      <c r="G84" s="546">
        <v>20000</v>
      </c>
      <c r="H84" s="546">
        <v>277000</v>
      </c>
      <c r="I84" s="568">
        <v>370641.54</v>
      </c>
    </row>
    <row r="85" spans="1:9" ht="15.95" thickBot="1">
      <c r="A85" s="560" t="s">
        <v>955</v>
      </c>
      <c r="B85" s="543" t="s">
        <v>855</v>
      </c>
      <c r="C85" s="544"/>
      <c r="D85" s="544"/>
      <c r="E85" s="543"/>
      <c r="F85" s="548">
        <f>F61+F57</f>
        <v>0</v>
      </c>
      <c r="G85" s="548">
        <f>G61+G57</f>
        <v>53200</v>
      </c>
      <c r="H85" s="548">
        <f>H61+H57</f>
        <v>113600</v>
      </c>
      <c r="I85" s="559">
        <f>I61+I57</f>
        <v>292745.03999999992</v>
      </c>
    </row>
    <row r="86" spans="1:9" ht="15.95">
      <c r="A86" s="574" t="s">
        <v>992</v>
      </c>
      <c r="B86" s="575">
        <v>1048</v>
      </c>
      <c r="C86" s="576"/>
      <c r="D86" s="576"/>
      <c r="E86" s="575"/>
      <c r="F86" s="583"/>
      <c r="G86" s="583"/>
      <c r="H86" s="583"/>
      <c r="I86" s="581"/>
    </row>
    <row r="87" spans="1:9" ht="15.95">
      <c r="A87" s="556" t="s">
        <v>956</v>
      </c>
      <c r="B87" s="543" t="s">
        <v>855</v>
      </c>
      <c r="C87" s="544">
        <f>SUM(C88:C91)</f>
        <v>-61500</v>
      </c>
      <c r="D87" s="544">
        <f>SUM(D88:D91)</f>
        <v>-74400</v>
      </c>
      <c r="E87" s="544">
        <f>SUM(E88:E91)</f>
        <v>-70000</v>
      </c>
      <c r="F87" s="544">
        <f>SUM(F88:F91)</f>
        <v>-70000</v>
      </c>
      <c r="G87" s="544">
        <f>SUM(G88:G91)</f>
        <v>-70000</v>
      </c>
      <c r="H87" s="544">
        <f t="shared" ref="H87:I87" si="4">SUM(H88:H91)</f>
        <v>-100000</v>
      </c>
      <c r="I87" s="557">
        <f t="shared" si="4"/>
        <v>-130000</v>
      </c>
    </row>
    <row r="88" spans="1:9" ht="15.95">
      <c r="A88" s="558" t="s">
        <v>957</v>
      </c>
      <c r="B88" s="545" t="s">
        <v>993</v>
      </c>
      <c r="C88" s="547"/>
      <c r="D88" s="547"/>
      <c r="E88" s="573">
        <v>0</v>
      </c>
      <c r="F88" s="573">
        <v>0</v>
      </c>
      <c r="G88" s="573">
        <v>-10000</v>
      </c>
      <c r="H88" s="108">
        <v>-20000</v>
      </c>
      <c r="I88" s="232">
        <v>-15000</v>
      </c>
    </row>
    <row r="89" spans="1:9" ht="15.95">
      <c r="A89" s="558" t="s">
        <v>865</v>
      </c>
      <c r="B89" s="545" t="s">
        <v>994</v>
      </c>
      <c r="C89" s="547">
        <v>-60000</v>
      </c>
      <c r="D89" s="547">
        <v>-74400</v>
      </c>
      <c r="E89" s="547">
        <v>-70000</v>
      </c>
      <c r="F89" s="547">
        <v>-70000</v>
      </c>
      <c r="G89" s="547">
        <v>-60000</v>
      </c>
      <c r="H89" s="108">
        <v>-70000</v>
      </c>
      <c r="I89" s="232">
        <v>-75000</v>
      </c>
    </row>
    <row r="90" spans="1:9" ht="15.95">
      <c r="A90" s="558" t="s">
        <v>869</v>
      </c>
      <c r="B90" s="545" t="s">
        <v>995</v>
      </c>
      <c r="C90" s="547">
        <v>-1500</v>
      </c>
      <c r="D90" s="547"/>
      <c r="E90" s="546"/>
      <c r="F90" s="546"/>
      <c r="G90" s="546"/>
      <c r="H90" s="108">
        <v>-5000</v>
      </c>
      <c r="I90" s="232" t="s">
        <v>855</v>
      </c>
    </row>
    <row r="91" spans="1:9" ht="17.100000000000001" thickBot="1">
      <c r="A91" s="558" t="s">
        <v>996</v>
      </c>
      <c r="B91" s="545" t="s">
        <v>997</v>
      </c>
      <c r="C91" s="547"/>
      <c r="D91" s="547"/>
      <c r="E91" s="546"/>
      <c r="F91" s="546"/>
      <c r="G91" s="546"/>
      <c r="H91" s="108">
        <v>-5000</v>
      </c>
      <c r="I91" s="232">
        <v>-40000</v>
      </c>
    </row>
    <row r="92" spans="1:9" ht="15.95">
      <c r="A92" s="574" t="s">
        <v>873</v>
      </c>
      <c r="B92" s="575"/>
      <c r="C92" s="578">
        <f>SUM(C93:C119)</f>
        <v>84600</v>
      </c>
      <c r="D92" s="578">
        <f>SUM(D93:D119)</f>
        <v>65691</v>
      </c>
      <c r="E92" s="578">
        <f>SUM(E93:E119)</f>
        <v>99500</v>
      </c>
      <c r="F92" s="578">
        <f>SUM(F93:F118)</f>
        <v>83500</v>
      </c>
      <c r="G92" s="578">
        <f>SUM(G93:G118)</f>
        <v>72500</v>
      </c>
      <c r="H92" s="578">
        <f>SUM(H93:H118)</f>
        <v>113950</v>
      </c>
      <c r="I92" s="579">
        <f>SUM(I93:I118)</f>
        <v>143850</v>
      </c>
    </row>
    <row r="93" spans="1:9" ht="15.95">
      <c r="A93" s="558" t="s">
        <v>874</v>
      </c>
      <c r="B93" s="545" t="s">
        <v>998</v>
      </c>
      <c r="C93" s="547"/>
      <c r="D93" s="547"/>
      <c r="E93" s="546">
        <v>0</v>
      </c>
      <c r="F93" s="546">
        <v>0</v>
      </c>
      <c r="G93" s="546">
        <v>0</v>
      </c>
      <c r="H93" s="567">
        <v>10000</v>
      </c>
      <c r="I93" s="568">
        <v>45000</v>
      </c>
    </row>
    <row r="94" spans="1:9" ht="15.95">
      <c r="A94" s="558" t="s">
        <v>999</v>
      </c>
      <c r="B94" s="545" t="s">
        <v>1000</v>
      </c>
      <c r="C94" s="547"/>
      <c r="D94" s="547"/>
      <c r="E94" s="546">
        <v>0</v>
      </c>
      <c r="F94" s="546">
        <v>0</v>
      </c>
      <c r="G94" s="546">
        <v>0</v>
      </c>
      <c r="H94" s="567">
        <v>35000</v>
      </c>
      <c r="I94" s="568">
        <v>5000</v>
      </c>
    </row>
    <row r="95" spans="1:9" ht="15.95">
      <c r="A95" s="558" t="s">
        <v>1001</v>
      </c>
      <c r="B95" s="545" t="s">
        <v>1002</v>
      </c>
      <c r="C95" s="547"/>
      <c r="D95" s="547"/>
      <c r="E95" s="546">
        <v>0</v>
      </c>
      <c r="F95" s="546">
        <v>0</v>
      </c>
      <c r="G95" s="546">
        <v>0</v>
      </c>
      <c r="H95" s="567">
        <v>4000</v>
      </c>
      <c r="I95" s="568">
        <v>4250</v>
      </c>
    </row>
    <row r="96" spans="1:9" ht="15.95">
      <c r="A96" s="558" t="s">
        <v>965</v>
      </c>
      <c r="B96" s="545" t="s">
        <v>1003</v>
      </c>
      <c r="C96" s="547">
        <v>8000</v>
      </c>
      <c r="D96" s="547">
        <v>5894</v>
      </c>
      <c r="E96" s="546">
        <v>0</v>
      </c>
      <c r="F96" s="546">
        <v>0</v>
      </c>
      <c r="G96" s="546">
        <v>0</v>
      </c>
      <c r="H96" s="567"/>
      <c r="I96" s="568"/>
    </row>
    <row r="97" spans="1:9" ht="15.95">
      <c r="A97" s="558" t="s">
        <v>882</v>
      </c>
      <c r="B97" s="545" t="s">
        <v>1004</v>
      </c>
      <c r="C97" s="547">
        <v>15000</v>
      </c>
      <c r="D97" s="547">
        <v>1180</v>
      </c>
      <c r="E97" s="546">
        <v>15000</v>
      </c>
      <c r="F97" s="546">
        <v>15000</v>
      </c>
      <c r="G97" s="546">
        <v>11000</v>
      </c>
      <c r="H97" s="567"/>
      <c r="I97" s="568"/>
    </row>
    <row r="98" spans="1:9" ht="15.95">
      <c r="A98" s="558" t="s">
        <v>1005</v>
      </c>
      <c r="B98" s="545" t="s">
        <v>1006</v>
      </c>
      <c r="C98" s="547"/>
      <c r="D98" s="547"/>
      <c r="E98" s="546">
        <v>0</v>
      </c>
      <c r="F98" s="546">
        <v>0</v>
      </c>
      <c r="G98" s="546">
        <v>0</v>
      </c>
      <c r="H98" s="567" t="s">
        <v>1007</v>
      </c>
      <c r="I98" s="568">
        <v>500</v>
      </c>
    </row>
    <row r="99" spans="1:9" ht="15.95">
      <c r="A99" s="558" t="s">
        <v>888</v>
      </c>
      <c r="B99" s="545" t="s">
        <v>1008</v>
      </c>
      <c r="C99" s="547">
        <v>250</v>
      </c>
      <c r="D99" s="547">
        <v>2</v>
      </c>
      <c r="E99" s="546">
        <v>0</v>
      </c>
      <c r="F99" s="546">
        <v>0</v>
      </c>
      <c r="G99" s="546">
        <v>0</v>
      </c>
      <c r="H99" s="567">
        <v>450</v>
      </c>
      <c r="I99" s="568">
        <v>500</v>
      </c>
    </row>
    <row r="100" spans="1:9" ht="15.95">
      <c r="A100" s="558" t="s">
        <v>890</v>
      </c>
      <c r="B100" s="545" t="s">
        <v>1009</v>
      </c>
      <c r="C100" s="547"/>
      <c r="D100" s="547"/>
      <c r="E100" s="546">
        <v>0</v>
      </c>
      <c r="F100" s="546">
        <v>0</v>
      </c>
      <c r="G100" s="546">
        <v>0</v>
      </c>
      <c r="H100" s="567" t="s">
        <v>1007</v>
      </c>
      <c r="I100" s="568">
        <v>100</v>
      </c>
    </row>
    <row r="101" spans="1:9" ht="15.95">
      <c r="A101" s="558" t="s">
        <v>892</v>
      </c>
      <c r="B101" s="545" t="s">
        <v>1010</v>
      </c>
      <c r="C101" s="547">
        <v>500</v>
      </c>
      <c r="D101" s="547">
        <v>115</v>
      </c>
      <c r="E101" s="546">
        <v>0</v>
      </c>
      <c r="F101" s="546">
        <v>0</v>
      </c>
      <c r="G101" s="546">
        <v>3000</v>
      </c>
      <c r="H101" s="567" t="s">
        <v>855</v>
      </c>
      <c r="I101" s="568" t="s">
        <v>855</v>
      </c>
    </row>
    <row r="102" spans="1:9" ht="15.95">
      <c r="A102" s="558" t="s">
        <v>896</v>
      </c>
      <c r="B102" s="545" t="s">
        <v>1011</v>
      </c>
      <c r="C102" s="547"/>
      <c r="D102" s="547"/>
      <c r="E102" s="546">
        <v>500</v>
      </c>
      <c r="F102" s="546">
        <v>500</v>
      </c>
      <c r="G102" s="546">
        <v>500</v>
      </c>
      <c r="H102" s="567">
        <v>500</v>
      </c>
      <c r="I102" s="568">
        <v>500</v>
      </c>
    </row>
    <row r="103" spans="1:9" ht="15.95">
      <c r="A103" s="558" t="s">
        <v>1012</v>
      </c>
      <c r="B103" s="545" t="s">
        <v>1013</v>
      </c>
      <c r="C103" s="547"/>
      <c r="D103" s="547"/>
      <c r="E103" s="546">
        <v>0</v>
      </c>
      <c r="F103" s="546">
        <v>0</v>
      </c>
      <c r="G103" s="546">
        <v>0</v>
      </c>
      <c r="H103" s="567">
        <v>1000</v>
      </c>
      <c r="I103" s="568">
        <v>1000</v>
      </c>
    </row>
    <row r="104" spans="1:9" ht="15.95">
      <c r="A104" s="558" t="s">
        <v>900</v>
      </c>
      <c r="B104" s="545" t="s">
        <v>1014</v>
      </c>
      <c r="C104" s="547">
        <v>350</v>
      </c>
      <c r="D104" s="547"/>
      <c r="E104" s="546">
        <v>1000</v>
      </c>
      <c r="F104" s="546">
        <v>1000</v>
      </c>
      <c r="G104" s="546"/>
      <c r="H104" s="567"/>
      <c r="I104" s="568"/>
    </row>
    <row r="105" spans="1:9" ht="15.95">
      <c r="A105" s="558" t="s">
        <v>937</v>
      </c>
      <c r="B105" s="545" t="s">
        <v>1015</v>
      </c>
      <c r="C105" s="547">
        <v>3000</v>
      </c>
      <c r="D105" s="547"/>
      <c r="E105" s="546">
        <v>2000</v>
      </c>
      <c r="F105" s="546">
        <v>2000</v>
      </c>
      <c r="G105" s="546">
        <v>2000</v>
      </c>
      <c r="H105" s="567"/>
      <c r="I105" s="568"/>
    </row>
    <row r="106" spans="1:9" ht="15.95">
      <c r="A106" s="558" t="s">
        <v>910</v>
      </c>
      <c r="B106" s="545" t="s">
        <v>1016</v>
      </c>
      <c r="C106" s="547">
        <v>45000</v>
      </c>
      <c r="D106" s="547">
        <v>29969</v>
      </c>
      <c r="E106" s="546">
        <v>6000</v>
      </c>
      <c r="F106" s="546">
        <v>6000</v>
      </c>
      <c r="G106" s="546">
        <v>5000</v>
      </c>
      <c r="H106" s="567">
        <v>3000</v>
      </c>
      <c r="I106" s="568"/>
    </row>
    <row r="107" spans="1:9" ht="15.95">
      <c r="A107" s="558" t="s">
        <v>912</v>
      </c>
      <c r="B107" s="545" t="s">
        <v>1017</v>
      </c>
      <c r="C107" s="547">
        <v>1500</v>
      </c>
      <c r="D107" s="547"/>
      <c r="E107" s="546">
        <v>0</v>
      </c>
      <c r="F107" s="546">
        <v>0</v>
      </c>
      <c r="G107" s="546">
        <v>0</v>
      </c>
      <c r="H107" s="567"/>
      <c r="I107" s="568"/>
    </row>
    <row r="108" spans="1:9" ht="15.95">
      <c r="A108" s="558" t="s">
        <v>975</v>
      </c>
      <c r="B108" s="545" t="s">
        <v>1018</v>
      </c>
      <c r="C108" s="547"/>
      <c r="D108" s="547"/>
      <c r="E108" s="546">
        <v>0</v>
      </c>
      <c r="F108" s="546">
        <v>0</v>
      </c>
      <c r="G108" s="546">
        <v>1000</v>
      </c>
      <c r="H108" s="567">
        <v>2500</v>
      </c>
      <c r="I108" s="568">
        <v>2000</v>
      </c>
    </row>
    <row r="109" spans="1:9" ht="15.95">
      <c r="A109" s="558" t="s">
        <v>916</v>
      </c>
      <c r="B109" s="545" t="s">
        <v>1019</v>
      </c>
      <c r="C109" s="547"/>
      <c r="D109" s="547"/>
      <c r="E109" s="546">
        <v>3000</v>
      </c>
      <c r="F109" s="546">
        <v>3000</v>
      </c>
      <c r="G109" s="546">
        <v>4500</v>
      </c>
      <c r="H109" s="567">
        <v>5000</v>
      </c>
      <c r="I109" s="568">
        <v>9000</v>
      </c>
    </row>
    <row r="110" spans="1:9" ht="15.95">
      <c r="A110" s="558" t="s">
        <v>929</v>
      </c>
      <c r="B110" s="545" t="s">
        <v>1020</v>
      </c>
      <c r="C110" s="547">
        <v>1000</v>
      </c>
      <c r="D110" s="547"/>
      <c r="E110" s="546">
        <v>0</v>
      </c>
      <c r="F110" s="546">
        <v>0</v>
      </c>
      <c r="G110" s="546">
        <v>0</v>
      </c>
      <c r="H110" s="567" t="s">
        <v>855</v>
      </c>
      <c r="I110" s="568" t="s">
        <v>855</v>
      </c>
    </row>
    <row r="111" spans="1:9" ht="15.95">
      <c r="A111" s="558" t="s">
        <v>1021</v>
      </c>
      <c r="B111" s="545" t="s">
        <v>1022</v>
      </c>
      <c r="C111" s="547"/>
      <c r="D111" s="547"/>
      <c r="E111" s="546">
        <v>0</v>
      </c>
      <c r="F111" s="546">
        <v>0</v>
      </c>
      <c r="G111" s="546">
        <v>0</v>
      </c>
      <c r="H111" s="567">
        <v>1000</v>
      </c>
      <c r="I111" s="568">
        <v>1000</v>
      </c>
    </row>
    <row r="112" spans="1:9" ht="15.95">
      <c r="A112" s="558" t="s">
        <v>980</v>
      </c>
      <c r="B112" s="545" t="s">
        <v>1023</v>
      </c>
      <c r="C112" s="547"/>
      <c r="D112" s="547"/>
      <c r="E112" s="546">
        <v>10000</v>
      </c>
      <c r="F112" s="546">
        <v>10000</v>
      </c>
      <c r="G112" s="546">
        <v>5000</v>
      </c>
      <c r="H112" s="567">
        <v>6000</v>
      </c>
      <c r="I112" s="568">
        <v>5000</v>
      </c>
    </row>
    <row r="113" spans="1:9" ht="15.95">
      <c r="A113" s="558" t="s">
        <v>935</v>
      </c>
      <c r="B113" s="545" t="s">
        <v>1024</v>
      </c>
      <c r="C113" s="547"/>
      <c r="D113" s="547"/>
      <c r="E113" s="546">
        <v>0</v>
      </c>
      <c r="F113" s="546">
        <v>0</v>
      </c>
      <c r="G113" s="546">
        <v>0</v>
      </c>
      <c r="H113" s="567">
        <v>3000</v>
      </c>
      <c r="I113" s="568">
        <v>6000</v>
      </c>
    </row>
    <row r="114" spans="1:9" ht="15.95">
      <c r="A114" s="558" t="s">
        <v>941</v>
      </c>
      <c r="B114" s="545" t="s">
        <v>1025</v>
      </c>
      <c r="C114" s="547"/>
      <c r="D114" s="547"/>
      <c r="E114" s="546">
        <v>0</v>
      </c>
      <c r="F114" s="546">
        <v>0</v>
      </c>
      <c r="G114" s="546">
        <v>0</v>
      </c>
      <c r="H114" s="567">
        <v>1000</v>
      </c>
      <c r="I114" s="568">
        <v>2500</v>
      </c>
    </row>
    <row r="115" spans="1:9" ht="15.95">
      <c r="A115" s="558" t="s">
        <v>1026</v>
      </c>
      <c r="B115" s="545" t="s">
        <v>1027</v>
      </c>
      <c r="C115" s="547"/>
      <c r="D115" s="547">
        <v>9733</v>
      </c>
      <c r="E115" s="546">
        <v>15000</v>
      </c>
      <c r="F115" s="546">
        <v>15000</v>
      </c>
      <c r="G115" s="546">
        <v>15000</v>
      </c>
      <c r="H115" s="567">
        <v>10000</v>
      </c>
      <c r="I115" s="568">
        <v>30000</v>
      </c>
    </row>
    <row r="116" spans="1:9" ht="15.95">
      <c r="A116" s="558" t="s">
        <v>943</v>
      </c>
      <c r="B116" s="545" t="s">
        <v>1028</v>
      </c>
      <c r="C116" s="547"/>
      <c r="D116" s="547">
        <v>244</v>
      </c>
      <c r="E116" s="546">
        <v>16000</v>
      </c>
      <c r="F116" s="546">
        <v>6000</v>
      </c>
      <c r="G116" s="546"/>
      <c r="H116" s="567"/>
      <c r="I116" s="568"/>
    </row>
    <row r="117" spans="1:9" ht="15.95">
      <c r="A117" s="558" t="s">
        <v>949</v>
      </c>
      <c r="B117" s="545" t="s">
        <v>1029</v>
      </c>
      <c r="C117" s="547"/>
      <c r="D117" s="547">
        <v>1135</v>
      </c>
      <c r="E117" s="546">
        <v>0</v>
      </c>
      <c r="F117" s="546">
        <v>5000</v>
      </c>
      <c r="G117" s="546">
        <v>500</v>
      </c>
      <c r="H117" s="567">
        <v>1500</v>
      </c>
      <c r="I117" s="568">
        <v>1500</v>
      </c>
    </row>
    <row r="118" spans="1:9" ht="15.95">
      <c r="A118" s="558" t="s">
        <v>945</v>
      </c>
      <c r="B118" s="545" t="s">
        <v>1029</v>
      </c>
      <c r="C118" s="547">
        <v>10000</v>
      </c>
      <c r="D118" s="547">
        <v>17419</v>
      </c>
      <c r="E118" s="546">
        <v>25000</v>
      </c>
      <c r="F118" s="546">
        <v>20000</v>
      </c>
      <c r="G118" s="546">
        <v>25000</v>
      </c>
      <c r="H118" s="567">
        <v>30000</v>
      </c>
      <c r="I118" s="568">
        <v>30000</v>
      </c>
    </row>
    <row r="119" spans="1:9" ht="15.95">
      <c r="A119" s="558" t="s">
        <v>1030</v>
      </c>
      <c r="B119" s="545" t="s">
        <v>1031</v>
      </c>
      <c r="C119" s="547"/>
      <c r="D119" s="547"/>
      <c r="E119" s="546">
        <v>6000</v>
      </c>
      <c r="F119" s="546">
        <v>6000</v>
      </c>
      <c r="G119" s="546">
        <v>6000</v>
      </c>
      <c r="H119" s="567"/>
      <c r="I119" s="568"/>
    </row>
    <row r="120" spans="1:9" ht="17.100000000000001" thickBot="1">
      <c r="A120" s="556" t="s">
        <v>955</v>
      </c>
      <c r="B120" s="549" t="s">
        <v>855</v>
      </c>
      <c r="C120" s="548">
        <f>C92+C87</f>
        <v>23100</v>
      </c>
      <c r="D120" s="548">
        <f>D92+D87</f>
        <v>-8709</v>
      </c>
      <c r="E120" s="548">
        <f>E92+E87</f>
        <v>29500</v>
      </c>
      <c r="F120" s="548">
        <f>F92+F87</f>
        <v>13500</v>
      </c>
      <c r="G120" s="548">
        <f>G92+G87</f>
        <v>2500</v>
      </c>
      <c r="H120" s="548">
        <f t="shared" ref="H120:I120" si="5">H92+H87</f>
        <v>13950</v>
      </c>
      <c r="I120" s="559">
        <f t="shared" si="5"/>
        <v>13850</v>
      </c>
    </row>
    <row r="121" spans="1:9" ht="15.95">
      <c r="A121" s="574" t="s">
        <v>1032</v>
      </c>
      <c r="B121" s="575">
        <v>1196</v>
      </c>
      <c r="C121" s="576"/>
      <c r="D121" s="576"/>
      <c r="E121" s="583"/>
      <c r="F121" s="583"/>
      <c r="G121" s="583"/>
      <c r="H121" s="583"/>
      <c r="I121" s="581"/>
    </row>
    <row r="122" spans="1:9" ht="15.95">
      <c r="A122" s="556" t="s">
        <v>956</v>
      </c>
      <c r="B122" s="543" t="s">
        <v>855</v>
      </c>
      <c r="C122" s="544">
        <f t="shared" ref="C122:I122" si="6">SUM(C123:C125)</f>
        <v>-245000</v>
      </c>
      <c r="D122" s="544">
        <f t="shared" si="6"/>
        <v>-310000</v>
      </c>
      <c r="E122" s="544">
        <f t="shared" si="6"/>
        <v>-310000</v>
      </c>
      <c r="F122" s="544">
        <f t="shared" si="6"/>
        <v>-310000</v>
      </c>
      <c r="G122" s="544">
        <f t="shared" si="6"/>
        <v>-355000</v>
      </c>
      <c r="H122" s="544">
        <f t="shared" si="6"/>
        <v>-440000</v>
      </c>
      <c r="I122" s="557">
        <f t="shared" si="6"/>
        <v>-432500</v>
      </c>
    </row>
    <row r="123" spans="1:9">
      <c r="A123" s="195" t="s">
        <v>957</v>
      </c>
      <c r="B123" s="545" t="s">
        <v>1033</v>
      </c>
      <c r="C123" s="547">
        <v>-200000</v>
      </c>
      <c r="D123" s="547">
        <v>-260000</v>
      </c>
      <c r="E123" s="547">
        <v>-260000</v>
      </c>
      <c r="F123" s="547">
        <v>-260000</v>
      </c>
      <c r="G123" s="547">
        <v>-260000</v>
      </c>
      <c r="H123" s="108">
        <v>-340000</v>
      </c>
      <c r="I123" s="232">
        <v>-350000</v>
      </c>
    </row>
    <row r="124" spans="1:9">
      <c r="A124" s="195" t="s">
        <v>865</v>
      </c>
      <c r="B124" s="545" t="s">
        <v>1034</v>
      </c>
      <c r="C124" s="547">
        <v>-25000</v>
      </c>
      <c r="D124" s="547">
        <v>-20000</v>
      </c>
      <c r="E124" s="547">
        <v>-20000</v>
      </c>
      <c r="F124" s="547">
        <v>-20000</v>
      </c>
      <c r="G124" s="547">
        <v>-60000</v>
      </c>
      <c r="H124" s="108">
        <v>-60000</v>
      </c>
      <c r="I124" s="232">
        <v>-40000</v>
      </c>
    </row>
    <row r="125" spans="1:9" ht="15.95" thickBot="1">
      <c r="A125" s="195" t="s">
        <v>960</v>
      </c>
      <c r="B125" s="545" t="s">
        <v>1035</v>
      </c>
      <c r="C125" s="547">
        <v>-20000</v>
      </c>
      <c r="D125" s="547">
        <v>-30000</v>
      </c>
      <c r="E125" s="547">
        <v>-30000</v>
      </c>
      <c r="F125" s="547">
        <v>-30000</v>
      </c>
      <c r="G125" s="547">
        <v>-35000</v>
      </c>
      <c r="H125" s="108">
        <v>-40000</v>
      </c>
      <c r="I125" s="232">
        <v>-42500</v>
      </c>
    </row>
    <row r="126" spans="1:9" ht="15.95">
      <c r="A126" s="574" t="s">
        <v>873</v>
      </c>
      <c r="B126" s="575"/>
      <c r="C126" s="578">
        <f>SUM(C127:C147)</f>
        <v>497300</v>
      </c>
      <c r="D126" s="578">
        <f>SUM(D127:D147)</f>
        <v>544000</v>
      </c>
      <c r="E126" s="578">
        <f>SUM(E127:E147)</f>
        <v>544000</v>
      </c>
      <c r="F126" s="578">
        <f>SUM(F127:F147)</f>
        <v>544000</v>
      </c>
      <c r="G126" s="578">
        <f>SUM(G127:G147)</f>
        <v>478000</v>
      </c>
      <c r="H126" s="578">
        <f t="shared" ref="H126:I126" si="7">SUM(H127:H147)</f>
        <v>516500</v>
      </c>
      <c r="I126" s="579">
        <f t="shared" si="7"/>
        <v>515000</v>
      </c>
    </row>
    <row r="127" spans="1:9">
      <c r="A127" s="195" t="s">
        <v>1036</v>
      </c>
      <c r="B127" s="545" t="s">
        <v>1037</v>
      </c>
      <c r="C127" s="547">
        <v>2500</v>
      </c>
      <c r="D127" s="547">
        <v>14500</v>
      </c>
      <c r="E127" s="546">
        <v>14500</v>
      </c>
      <c r="F127" s="546">
        <v>14500</v>
      </c>
      <c r="G127" s="546"/>
      <c r="H127" s="567">
        <v>7500</v>
      </c>
      <c r="I127" s="568">
        <v>5000</v>
      </c>
    </row>
    <row r="128" spans="1:9">
      <c r="A128" s="195" t="s">
        <v>1038</v>
      </c>
      <c r="B128" s="545" t="s">
        <v>1039</v>
      </c>
      <c r="C128" s="547">
        <v>1000</v>
      </c>
      <c r="D128" s="547"/>
      <c r="E128" s="546"/>
      <c r="F128" s="546"/>
      <c r="G128" s="546"/>
      <c r="H128" s="567"/>
      <c r="I128" s="568"/>
    </row>
    <row r="129" spans="1:9">
      <c r="A129" s="195" t="s">
        <v>965</v>
      </c>
      <c r="B129" s="545" t="s">
        <v>1040</v>
      </c>
      <c r="C129" s="547">
        <v>1000</v>
      </c>
      <c r="D129" s="547"/>
      <c r="E129" s="546">
        <v>0</v>
      </c>
      <c r="F129" s="546">
        <v>0</v>
      </c>
      <c r="G129" s="546">
        <v>2000</v>
      </c>
      <c r="H129" s="567">
        <v>25000</v>
      </c>
      <c r="I129" s="568">
        <v>25000</v>
      </c>
    </row>
    <row r="130" spans="1:9">
      <c r="A130" s="195" t="s">
        <v>933</v>
      </c>
      <c r="B130" s="545" t="s">
        <v>1041</v>
      </c>
      <c r="C130" s="547">
        <v>10100</v>
      </c>
      <c r="D130" s="547">
        <v>6000</v>
      </c>
      <c r="E130" s="546">
        <v>6000</v>
      </c>
      <c r="F130" s="546">
        <v>6000</v>
      </c>
      <c r="G130" s="546">
        <v>6000</v>
      </c>
      <c r="H130" s="567"/>
      <c r="I130" s="568"/>
    </row>
    <row r="131" spans="1:9">
      <c r="A131" s="195" t="s">
        <v>969</v>
      </c>
      <c r="B131" s="545" t="s">
        <v>1042</v>
      </c>
      <c r="C131" s="547"/>
      <c r="D131" s="547"/>
      <c r="E131" s="546">
        <v>0</v>
      </c>
      <c r="F131" s="546">
        <v>0</v>
      </c>
      <c r="G131" s="546">
        <v>2000</v>
      </c>
      <c r="H131" s="567">
        <v>20000</v>
      </c>
      <c r="I131" s="568">
        <v>35000</v>
      </c>
    </row>
    <row r="132" spans="1:9">
      <c r="A132" s="195" t="s">
        <v>896</v>
      </c>
      <c r="B132" s="545" t="s">
        <v>1043</v>
      </c>
      <c r="C132" s="547"/>
      <c r="D132" s="547"/>
      <c r="E132" s="546"/>
      <c r="F132" s="546"/>
      <c r="G132" s="546"/>
      <c r="H132" s="567"/>
      <c r="I132" s="568"/>
    </row>
    <row r="133" spans="1:9">
      <c r="A133" s="195" t="s">
        <v>902</v>
      </c>
      <c r="B133" s="545" t="s">
        <v>1044</v>
      </c>
      <c r="C133" s="547">
        <v>1500</v>
      </c>
      <c r="D133" s="547">
        <v>2500</v>
      </c>
      <c r="E133" s="546">
        <v>2500</v>
      </c>
      <c r="F133" s="546">
        <v>2500</v>
      </c>
      <c r="G133" s="546">
        <v>3000</v>
      </c>
      <c r="H133" s="567"/>
      <c r="I133" s="568"/>
    </row>
    <row r="134" spans="1:9">
      <c r="A134" s="195" t="s">
        <v>910</v>
      </c>
      <c r="B134" s="545" t="s">
        <v>1045</v>
      </c>
      <c r="C134" s="547">
        <v>56200</v>
      </c>
      <c r="D134" s="547">
        <v>56500</v>
      </c>
      <c r="E134" s="546">
        <v>56500</v>
      </c>
      <c r="F134" s="546">
        <v>56500</v>
      </c>
      <c r="G134" s="546">
        <v>30000</v>
      </c>
      <c r="H134" s="567">
        <v>25000</v>
      </c>
      <c r="I134" s="568">
        <v>25000</v>
      </c>
    </row>
    <row r="135" spans="1:9">
      <c r="A135" s="195" t="s">
        <v>912</v>
      </c>
      <c r="B135" s="545" t="s">
        <v>1046</v>
      </c>
      <c r="C135" s="547">
        <v>25000</v>
      </c>
      <c r="D135" s="547">
        <v>25000</v>
      </c>
      <c r="E135" s="546">
        <v>25000</v>
      </c>
      <c r="F135" s="546">
        <v>25000</v>
      </c>
      <c r="G135" s="546">
        <v>30000</v>
      </c>
      <c r="H135" s="567">
        <v>17000</v>
      </c>
      <c r="I135" s="568">
        <v>17000</v>
      </c>
    </row>
    <row r="136" spans="1:9">
      <c r="A136" s="195" t="s">
        <v>975</v>
      </c>
      <c r="B136" s="545" t="s">
        <v>1047</v>
      </c>
      <c r="C136" s="547"/>
      <c r="D136" s="547"/>
      <c r="E136" s="546">
        <v>0</v>
      </c>
      <c r="F136" s="546">
        <v>0</v>
      </c>
      <c r="G136" s="546">
        <v>2000</v>
      </c>
      <c r="H136" s="567"/>
      <c r="I136" s="568"/>
    </row>
    <row r="137" spans="1:9">
      <c r="A137" s="195" t="s">
        <v>916</v>
      </c>
      <c r="B137" s="545" t="s">
        <v>1048</v>
      </c>
      <c r="C137" s="547">
        <v>5000</v>
      </c>
      <c r="D137" s="547">
        <v>4000</v>
      </c>
      <c r="E137" s="546">
        <v>4000</v>
      </c>
      <c r="F137" s="546">
        <v>4000</v>
      </c>
      <c r="G137" s="546">
        <v>10000</v>
      </c>
      <c r="H137" s="567">
        <v>10000</v>
      </c>
      <c r="I137" s="568">
        <v>7000</v>
      </c>
    </row>
    <row r="138" spans="1:9">
      <c r="A138" s="195" t="s">
        <v>978</v>
      </c>
      <c r="B138" s="545" t="s">
        <v>1049</v>
      </c>
      <c r="C138" s="547"/>
      <c r="D138" s="547"/>
      <c r="E138" s="546">
        <v>0</v>
      </c>
      <c r="F138" s="546">
        <v>0</v>
      </c>
      <c r="G138" s="546">
        <v>1500</v>
      </c>
      <c r="H138" s="567">
        <v>3000</v>
      </c>
      <c r="I138" s="568">
        <v>3000</v>
      </c>
    </row>
    <row r="139" spans="1:9">
      <c r="A139" s="195" t="s">
        <v>980</v>
      </c>
      <c r="B139" s="545" t="s">
        <v>1050</v>
      </c>
      <c r="C139" s="547">
        <v>100000</v>
      </c>
      <c r="D139" s="547">
        <v>110000</v>
      </c>
      <c r="E139" s="546">
        <v>110000</v>
      </c>
      <c r="F139" s="546">
        <v>110000</v>
      </c>
      <c r="G139" s="546">
        <v>140000</v>
      </c>
      <c r="H139" s="567">
        <v>130000</v>
      </c>
      <c r="I139" s="568">
        <v>80000</v>
      </c>
    </row>
    <row r="140" spans="1:9">
      <c r="A140" s="195" t="s">
        <v>980</v>
      </c>
      <c r="B140" s="545" t="s">
        <v>1050</v>
      </c>
      <c r="C140" s="547"/>
      <c r="D140" s="547"/>
      <c r="E140" s="546"/>
      <c r="F140" s="546"/>
      <c r="G140" s="546"/>
      <c r="H140" s="567" t="s">
        <v>1007</v>
      </c>
      <c r="I140" s="568">
        <v>40000</v>
      </c>
    </row>
    <row r="141" spans="1:9">
      <c r="A141" s="195" t="s">
        <v>935</v>
      </c>
      <c r="B141" s="545" t="s">
        <v>1051</v>
      </c>
      <c r="C141" s="547">
        <v>4000</v>
      </c>
      <c r="D141" s="547">
        <v>2000</v>
      </c>
      <c r="E141" s="546">
        <v>2000</v>
      </c>
      <c r="F141" s="546">
        <v>2000</v>
      </c>
      <c r="G141" s="546">
        <v>2000</v>
      </c>
      <c r="H141" s="567"/>
      <c r="I141" s="568"/>
    </row>
    <row r="142" spans="1:9">
      <c r="A142" s="195" t="s">
        <v>1052</v>
      </c>
      <c r="B142" s="545" t="s">
        <v>1053</v>
      </c>
      <c r="C142" s="547">
        <v>8000</v>
      </c>
      <c r="D142" s="547">
        <v>10000</v>
      </c>
      <c r="E142" s="546">
        <v>10000</v>
      </c>
      <c r="F142" s="546">
        <v>10000</v>
      </c>
      <c r="G142" s="546"/>
      <c r="H142" s="567" t="s">
        <v>855</v>
      </c>
      <c r="I142" s="568" t="s">
        <v>855</v>
      </c>
    </row>
    <row r="143" spans="1:9">
      <c r="A143" s="195" t="s">
        <v>947</v>
      </c>
      <c r="B143" s="545" t="s">
        <v>1054</v>
      </c>
      <c r="C143" s="547">
        <v>2500</v>
      </c>
      <c r="D143" s="547">
        <v>3500</v>
      </c>
      <c r="E143" s="546">
        <v>3500</v>
      </c>
      <c r="F143" s="546">
        <v>3500</v>
      </c>
      <c r="G143" s="546">
        <v>3500</v>
      </c>
      <c r="H143" s="567"/>
      <c r="I143" s="568"/>
    </row>
    <row r="144" spans="1:9">
      <c r="A144" s="195" t="s">
        <v>987</v>
      </c>
      <c r="B144" s="545" t="s">
        <v>1055</v>
      </c>
      <c r="C144" s="547">
        <v>8000</v>
      </c>
      <c r="D144" s="547">
        <v>10000</v>
      </c>
      <c r="E144" s="546">
        <v>10000</v>
      </c>
      <c r="F144" s="546">
        <v>10000</v>
      </c>
      <c r="G144" s="546"/>
      <c r="H144" s="567"/>
      <c r="I144" s="568"/>
    </row>
    <row r="145" spans="1:9">
      <c r="A145" s="195" t="s">
        <v>1056</v>
      </c>
      <c r="B145" s="545" t="s">
        <v>1057</v>
      </c>
      <c r="C145" s="547">
        <v>1500</v>
      </c>
      <c r="D145" s="547"/>
      <c r="E145" s="546"/>
      <c r="F145" s="546"/>
      <c r="G145" s="546"/>
      <c r="H145" s="567"/>
      <c r="I145" s="568"/>
    </row>
    <row r="146" spans="1:9">
      <c r="A146" s="195" t="s">
        <v>945</v>
      </c>
      <c r="B146" s="545" t="s">
        <v>1058</v>
      </c>
      <c r="C146" s="547">
        <v>265000</v>
      </c>
      <c r="D146" s="547">
        <v>300000</v>
      </c>
      <c r="E146" s="546">
        <v>300000</v>
      </c>
      <c r="F146" s="546">
        <v>300000</v>
      </c>
      <c r="G146" s="546">
        <f>277000-32000</f>
        <v>245000</v>
      </c>
      <c r="H146" s="567">
        <v>277000</v>
      </c>
      <c r="I146" s="568">
        <v>276000</v>
      </c>
    </row>
    <row r="147" spans="1:9" ht="17.100000000000001" thickBot="1">
      <c r="A147" s="584" t="s">
        <v>953</v>
      </c>
      <c r="B147" s="582" t="s">
        <v>1059</v>
      </c>
      <c r="C147" s="758">
        <v>6000</v>
      </c>
      <c r="D147" s="758"/>
      <c r="E147" s="585">
        <v>0</v>
      </c>
      <c r="F147" s="585">
        <v>0</v>
      </c>
      <c r="G147" s="585">
        <v>1000</v>
      </c>
      <c r="H147" s="586">
        <v>2000</v>
      </c>
      <c r="I147" s="587">
        <v>2000</v>
      </c>
    </row>
    <row r="148" spans="1:9" ht="15.95">
      <c r="A148" s="556" t="s">
        <v>955</v>
      </c>
      <c r="B148" s="543" t="s">
        <v>855</v>
      </c>
      <c r="C148" s="548">
        <f t="shared" ref="C148:I148" si="8">C126+C122</f>
        <v>252300</v>
      </c>
      <c r="D148" s="548">
        <f t="shared" si="8"/>
        <v>234000</v>
      </c>
      <c r="E148" s="548">
        <f t="shared" si="8"/>
        <v>234000</v>
      </c>
      <c r="F148" s="548">
        <f t="shared" si="8"/>
        <v>234000</v>
      </c>
      <c r="G148" s="548">
        <f t="shared" si="8"/>
        <v>123000</v>
      </c>
      <c r="H148" s="548">
        <f t="shared" si="8"/>
        <v>76500</v>
      </c>
      <c r="I148" s="559">
        <f t="shared" si="8"/>
        <v>82500</v>
      </c>
    </row>
    <row r="149" spans="1:9" ht="15.95">
      <c r="A149" s="561" t="s">
        <v>1060</v>
      </c>
      <c r="B149" s="545" t="s">
        <v>855</v>
      </c>
      <c r="C149" s="546">
        <f>C55</f>
        <v>288347</v>
      </c>
      <c r="D149" s="546">
        <f>D55</f>
        <v>212514</v>
      </c>
      <c r="E149" s="546">
        <f>E55</f>
        <v>258784</v>
      </c>
      <c r="F149" s="546">
        <f>F55</f>
        <v>328324.53000000003</v>
      </c>
      <c r="G149" s="546">
        <f>G55</f>
        <v>239600</v>
      </c>
      <c r="H149" s="546">
        <f t="shared" ref="H149:I149" si="9">H55</f>
        <v>244100</v>
      </c>
      <c r="I149" s="562">
        <f t="shared" si="9"/>
        <v>242450</v>
      </c>
    </row>
    <row r="150" spans="1:9" ht="15.95">
      <c r="A150" s="561" t="s">
        <v>1061</v>
      </c>
      <c r="B150" s="545" t="s">
        <v>855</v>
      </c>
      <c r="C150" s="546">
        <f>C85</f>
        <v>0</v>
      </c>
      <c r="D150" s="546">
        <f>D85</f>
        <v>0</v>
      </c>
      <c r="E150" s="546">
        <f>E85</f>
        <v>0</v>
      </c>
      <c r="F150" s="546">
        <f>F85</f>
        <v>0</v>
      </c>
      <c r="G150" s="546">
        <f>G85</f>
        <v>53200</v>
      </c>
      <c r="H150" s="546">
        <f t="shared" ref="H150:I150" si="10">H85</f>
        <v>113600</v>
      </c>
      <c r="I150" s="562">
        <f t="shared" si="10"/>
        <v>292745.03999999992</v>
      </c>
    </row>
    <row r="151" spans="1:9" ht="15.95">
      <c r="A151" s="561" t="s">
        <v>1062</v>
      </c>
      <c r="B151" s="545" t="s">
        <v>855</v>
      </c>
      <c r="C151" s="546">
        <f>C120</f>
        <v>23100</v>
      </c>
      <c r="D151" s="546">
        <f>D120</f>
        <v>-8709</v>
      </c>
      <c r="E151" s="546">
        <f>E120</f>
        <v>29500</v>
      </c>
      <c r="F151" s="546">
        <f>F120</f>
        <v>13500</v>
      </c>
      <c r="G151" s="546">
        <f>G120</f>
        <v>2500</v>
      </c>
      <c r="H151" s="546">
        <f t="shared" ref="H151:I151" si="11">H120</f>
        <v>13950</v>
      </c>
      <c r="I151" s="562">
        <f t="shared" si="11"/>
        <v>13850</v>
      </c>
    </row>
    <row r="152" spans="1:9" ht="15.95">
      <c r="A152" s="561" t="s">
        <v>1063</v>
      </c>
      <c r="B152" s="545" t="s">
        <v>855</v>
      </c>
      <c r="C152" s="546">
        <f>C148</f>
        <v>252300</v>
      </c>
      <c r="D152" s="546">
        <f>D148</f>
        <v>234000</v>
      </c>
      <c r="E152" s="546">
        <f>E148</f>
        <v>234000</v>
      </c>
      <c r="F152" s="546">
        <f>F148</f>
        <v>234000</v>
      </c>
      <c r="G152" s="546">
        <f>G148</f>
        <v>123000</v>
      </c>
      <c r="H152" s="546">
        <f t="shared" ref="H152:I152" si="12">H148</f>
        <v>76500</v>
      </c>
      <c r="I152" s="562">
        <f t="shared" si="12"/>
        <v>82500</v>
      </c>
    </row>
    <row r="153" spans="1:9" ht="17.100000000000001" thickBot="1">
      <c r="A153" s="563" t="s">
        <v>1064</v>
      </c>
      <c r="B153" s="564" t="s">
        <v>855</v>
      </c>
      <c r="C153" s="565">
        <f t="shared" ref="C153:H153" si="13">C149+C150+C151+C152</f>
        <v>563747</v>
      </c>
      <c r="D153" s="565">
        <f t="shared" si="13"/>
        <v>437805</v>
      </c>
      <c r="E153" s="565">
        <f t="shared" si="13"/>
        <v>522284</v>
      </c>
      <c r="F153" s="565">
        <f t="shared" si="13"/>
        <v>575824.53</v>
      </c>
      <c r="G153" s="565">
        <f t="shared" si="13"/>
        <v>418300</v>
      </c>
      <c r="H153" s="565">
        <f t="shared" si="13"/>
        <v>448150</v>
      </c>
      <c r="I153" s="566">
        <f t="shared" ref="I153" si="14">I149+I150+I151+I152</f>
        <v>631545.03999999992</v>
      </c>
    </row>
    <row r="160" spans="1:9" ht="15.95" thickBot="1">
      <c r="G160" s="1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J93"/>
  <sheetViews>
    <sheetView workbookViewId="0">
      <pane ySplit="1" topLeftCell="A2" activePane="bottomLeft" state="frozen"/>
      <selection pane="bottomLeft" activeCell="A49" sqref="A49"/>
    </sheetView>
  </sheetViews>
  <sheetFormatPr defaultColWidth="14.42578125" defaultRowHeight="15.75" customHeight="1"/>
  <cols>
    <col min="1" max="1" width="38" customWidth="1"/>
    <col min="2" max="2" width="22.28515625" customWidth="1"/>
    <col min="3" max="4" width="22.28515625" style="148" customWidth="1"/>
    <col min="5" max="6" width="22.28515625" customWidth="1"/>
    <col min="7" max="7" width="22.28515625" style="148" customWidth="1"/>
    <col min="8" max="8" width="22.28515625" customWidth="1"/>
    <col min="9" max="9" width="18.85546875" customWidth="1"/>
  </cols>
  <sheetData>
    <row r="1" spans="1:9" ht="41.1" customHeight="1">
      <c r="A1" s="728" t="s">
        <v>149</v>
      </c>
      <c r="B1" s="729" t="s">
        <v>150</v>
      </c>
      <c r="C1" s="759" t="s">
        <v>3</v>
      </c>
      <c r="D1" s="759" t="s">
        <v>4</v>
      </c>
      <c r="E1" s="697" t="s">
        <v>5</v>
      </c>
      <c r="F1" s="730" t="s">
        <v>7</v>
      </c>
      <c r="G1" s="731" t="s">
        <v>1065</v>
      </c>
      <c r="H1" s="732" t="s">
        <v>154</v>
      </c>
      <c r="I1" s="733" t="s">
        <v>14</v>
      </c>
    </row>
    <row r="2" spans="1:9" ht="15.75" customHeight="1">
      <c r="A2" s="480" t="s">
        <v>1066</v>
      </c>
      <c r="B2" s="481" t="s">
        <v>1067</v>
      </c>
      <c r="C2" s="440"/>
      <c r="D2" s="440"/>
      <c r="E2" s="481"/>
      <c r="F2" s="481"/>
      <c r="G2" s="440"/>
      <c r="H2" s="481"/>
      <c r="I2" s="482"/>
    </row>
    <row r="3" spans="1:9" ht="15.75" customHeight="1">
      <c r="A3" s="483" t="s">
        <v>157</v>
      </c>
      <c r="B3" s="463"/>
      <c r="C3" s="464"/>
      <c r="D3" s="464"/>
      <c r="E3" s="463"/>
      <c r="F3" s="463"/>
      <c r="G3" s="464"/>
      <c r="H3" s="463"/>
      <c r="I3" s="484"/>
    </row>
    <row r="4" spans="1:9" ht="15.75" customHeight="1">
      <c r="A4" s="195" t="s">
        <v>1068</v>
      </c>
      <c r="B4" s="501" t="s">
        <v>1069</v>
      </c>
      <c r="C4" s="285">
        <v>-9450</v>
      </c>
      <c r="D4" s="285">
        <v>-10172</v>
      </c>
      <c r="E4" s="285">
        <v>-25650</v>
      </c>
      <c r="F4" s="285">
        <v>-25650</v>
      </c>
      <c r="G4" s="285">
        <v>-42400</v>
      </c>
      <c r="H4" s="465"/>
      <c r="I4" s="485"/>
    </row>
    <row r="5" spans="1:9" ht="15.75" customHeight="1">
      <c r="A5" s="195" t="s">
        <v>1070</v>
      </c>
      <c r="B5" s="501" t="s">
        <v>1071</v>
      </c>
      <c r="C5" s="285">
        <v>206607</v>
      </c>
      <c r="D5" s="285">
        <v>187604</v>
      </c>
      <c r="E5" s="285">
        <v>180983</v>
      </c>
      <c r="F5" s="285">
        <v>143495</v>
      </c>
      <c r="G5" s="285">
        <v>172200</v>
      </c>
      <c r="H5" s="465">
        <v>204863</v>
      </c>
      <c r="I5" s="485">
        <v>191640</v>
      </c>
    </row>
    <row r="6" spans="1:9" ht="15.75" customHeight="1">
      <c r="A6" s="195" t="s">
        <v>1072</v>
      </c>
      <c r="B6" s="501" t="s">
        <v>1073</v>
      </c>
      <c r="C6" s="285">
        <v>47628</v>
      </c>
      <c r="D6" s="285">
        <v>58000</v>
      </c>
      <c r="E6" s="285">
        <v>68528</v>
      </c>
      <c r="F6" s="285">
        <v>63702</v>
      </c>
      <c r="G6" s="285">
        <v>124800</v>
      </c>
      <c r="H6" s="466"/>
      <c r="I6" s="486"/>
    </row>
    <row r="7" spans="1:9" ht="15.75" customHeight="1">
      <c r="A7" s="195" t="s">
        <v>483</v>
      </c>
      <c r="B7" s="501" t="s">
        <v>1074</v>
      </c>
      <c r="C7" s="285">
        <v>71884</v>
      </c>
      <c r="D7" s="285">
        <v>61410</v>
      </c>
      <c r="E7" s="285">
        <v>68528</v>
      </c>
      <c r="F7" s="285">
        <v>57338</v>
      </c>
      <c r="G7" s="285">
        <v>47172</v>
      </c>
      <c r="H7" s="465">
        <v>31210.52</v>
      </c>
      <c r="I7" s="485">
        <v>29196</v>
      </c>
    </row>
    <row r="8" spans="1:9" ht="15.75" customHeight="1">
      <c r="A8" s="195" t="s">
        <v>568</v>
      </c>
      <c r="B8" s="501" t="s">
        <v>1075</v>
      </c>
      <c r="C8" s="285">
        <v>700</v>
      </c>
      <c r="D8" s="285">
        <v>500</v>
      </c>
      <c r="E8" s="285">
        <v>1050</v>
      </c>
      <c r="F8" s="285">
        <v>1050</v>
      </c>
      <c r="G8" s="285"/>
      <c r="H8" s="466"/>
      <c r="I8" s="486"/>
    </row>
    <row r="9" spans="1:9" ht="15.75" customHeight="1">
      <c r="A9" s="483" t="s">
        <v>170</v>
      </c>
      <c r="B9" s="467"/>
      <c r="C9" s="468"/>
      <c r="D9" s="468"/>
      <c r="E9" s="468"/>
      <c r="F9" s="468"/>
      <c r="G9" s="468"/>
      <c r="H9" s="469"/>
      <c r="I9" s="487"/>
    </row>
    <row r="10" spans="1:9" ht="15.75" customHeight="1">
      <c r="A10" s="195" t="s">
        <v>171</v>
      </c>
      <c r="B10" s="461" t="s">
        <v>1076</v>
      </c>
      <c r="C10" s="502">
        <v>720</v>
      </c>
      <c r="D10" s="502">
        <v>720</v>
      </c>
      <c r="E10" s="502">
        <v>720</v>
      </c>
      <c r="F10" s="502">
        <v>720</v>
      </c>
      <c r="G10" s="502">
        <v>960</v>
      </c>
      <c r="H10" s="466">
        <v>500</v>
      </c>
      <c r="I10" s="486">
        <v>480</v>
      </c>
    </row>
    <row r="11" spans="1:9" ht="15.75" customHeight="1">
      <c r="A11" s="195" t="s">
        <v>374</v>
      </c>
      <c r="B11" s="461" t="s">
        <v>1077</v>
      </c>
      <c r="C11" s="502">
        <v>180</v>
      </c>
      <c r="D11" s="502">
        <v>350</v>
      </c>
      <c r="E11" s="502"/>
      <c r="F11" s="502"/>
      <c r="G11" s="502"/>
      <c r="H11" s="466"/>
      <c r="I11" s="486"/>
    </row>
    <row r="12" spans="1:9" ht="15.75" customHeight="1">
      <c r="A12" s="195" t="s">
        <v>175</v>
      </c>
      <c r="B12" s="461" t="s">
        <v>1078</v>
      </c>
      <c r="C12" s="502">
        <v>180</v>
      </c>
      <c r="D12" s="502">
        <v>20</v>
      </c>
      <c r="E12" s="502"/>
      <c r="F12" s="502"/>
      <c r="G12" s="502"/>
      <c r="H12" s="466"/>
      <c r="I12" s="486"/>
    </row>
    <row r="13" spans="1:9" ht="15.75" customHeight="1">
      <c r="A13" s="195" t="s">
        <v>430</v>
      </c>
      <c r="B13" s="461" t="s">
        <v>1079</v>
      </c>
      <c r="C13" s="502">
        <v>1200</v>
      </c>
      <c r="D13" s="502">
        <v>3070</v>
      </c>
      <c r="E13" s="502">
        <v>3000</v>
      </c>
      <c r="F13" s="502">
        <v>3000</v>
      </c>
      <c r="G13" s="502">
        <v>6000</v>
      </c>
      <c r="H13" s="466">
        <v>3600</v>
      </c>
      <c r="I13" s="486">
        <v>3600</v>
      </c>
    </row>
    <row r="14" spans="1:9" ht="15.75" customHeight="1">
      <c r="A14" s="195" t="s">
        <v>1080</v>
      </c>
      <c r="B14" s="461" t="s">
        <v>1081</v>
      </c>
      <c r="C14" s="502">
        <v>120</v>
      </c>
      <c r="D14" s="502">
        <v>120</v>
      </c>
      <c r="E14" s="502">
        <v>120</v>
      </c>
      <c r="F14" s="502">
        <v>120</v>
      </c>
      <c r="G14" s="502"/>
      <c r="H14" s="466"/>
      <c r="I14" s="486"/>
    </row>
    <row r="15" spans="1:9" ht="15.75" customHeight="1">
      <c r="A15" s="799" t="s">
        <v>379</v>
      </c>
      <c r="B15" s="461" t="s">
        <v>1082</v>
      </c>
      <c r="C15" s="502">
        <v>240</v>
      </c>
      <c r="D15" s="502">
        <v>120</v>
      </c>
      <c r="E15" s="502">
        <v>120</v>
      </c>
      <c r="F15" s="502">
        <v>120</v>
      </c>
      <c r="G15" s="502"/>
      <c r="H15" s="466"/>
      <c r="I15" s="486"/>
    </row>
    <row r="16" spans="1:9" ht="15.75" customHeight="1">
      <c r="A16" s="483" t="s">
        <v>1083</v>
      </c>
      <c r="B16" s="467"/>
      <c r="C16" s="468"/>
      <c r="D16" s="468"/>
      <c r="E16" s="468"/>
      <c r="F16" s="468"/>
      <c r="G16" s="468"/>
      <c r="H16" s="469"/>
      <c r="I16" s="487"/>
    </row>
    <row r="17" spans="1:9" ht="15.75" customHeight="1">
      <c r="A17" s="195" t="s">
        <v>535</v>
      </c>
      <c r="B17" s="501" t="s">
        <v>1084</v>
      </c>
      <c r="C17" s="502">
        <v>500</v>
      </c>
      <c r="D17" s="502"/>
      <c r="E17" s="502"/>
      <c r="F17" s="502"/>
      <c r="G17" s="502"/>
      <c r="H17" s="466"/>
      <c r="I17" s="486"/>
    </row>
    <row r="18" spans="1:9" ht="15.75" customHeight="1">
      <c r="A18" s="195" t="s">
        <v>184</v>
      </c>
      <c r="B18" s="461" t="s">
        <v>1085</v>
      </c>
      <c r="C18" s="502">
        <v>18000</v>
      </c>
      <c r="D18" s="502">
        <v>6282</v>
      </c>
      <c r="E18" s="502">
        <v>2500</v>
      </c>
      <c r="F18" s="502">
        <v>2500</v>
      </c>
      <c r="G18" s="502">
        <v>18000</v>
      </c>
      <c r="H18" s="465">
        <v>9600</v>
      </c>
      <c r="I18" s="485">
        <v>9600</v>
      </c>
    </row>
    <row r="19" spans="1:9" ht="15.75" customHeight="1">
      <c r="A19" s="483" t="s">
        <v>1086</v>
      </c>
      <c r="B19" s="467"/>
      <c r="C19" s="468"/>
      <c r="D19" s="468"/>
      <c r="E19" s="468"/>
      <c r="F19" s="468"/>
      <c r="G19" s="468"/>
      <c r="H19" s="469"/>
      <c r="I19" s="487"/>
    </row>
    <row r="20" spans="1:9" ht="15.75" customHeight="1">
      <c r="A20" s="195" t="s">
        <v>413</v>
      </c>
      <c r="B20" s="461" t="s">
        <v>1087</v>
      </c>
      <c r="C20" s="502">
        <v>16100</v>
      </c>
      <c r="D20" s="502">
        <v>16550</v>
      </c>
      <c r="E20" s="502">
        <v>16550</v>
      </c>
      <c r="F20" s="502">
        <v>16550</v>
      </c>
      <c r="G20" s="502">
        <v>16000</v>
      </c>
      <c r="H20" s="465">
        <v>15000</v>
      </c>
      <c r="I20" s="485">
        <v>15000</v>
      </c>
    </row>
    <row r="21" spans="1:9" ht="15.75" customHeight="1">
      <c r="A21" s="195" t="s">
        <v>1088</v>
      </c>
      <c r="B21" s="461" t="s">
        <v>1089</v>
      </c>
      <c r="C21" s="502">
        <v>3750</v>
      </c>
      <c r="D21" s="502">
        <v>2000</v>
      </c>
      <c r="E21" s="502">
        <v>3400</v>
      </c>
      <c r="F21" s="502">
        <v>3400</v>
      </c>
      <c r="G21" s="502"/>
      <c r="H21" s="466"/>
      <c r="I21" s="486"/>
    </row>
    <row r="22" spans="1:9" ht="15.75" customHeight="1">
      <c r="A22" s="195" t="s">
        <v>668</v>
      </c>
      <c r="B22" s="461" t="s">
        <v>1090</v>
      </c>
      <c r="C22" s="502">
        <v>5220</v>
      </c>
      <c r="D22" s="502">
        <v>4500</v>
      </c>
      <c r="E22" s="502">
        <v>4500</v>
      </c>
      <c r="F22" s="502">
        <v>4500</v>
      </c>
      <c r="G22" s="502">
        <v>4500</v>
      </c>
      <c r="H22" s="465">
        <v>4000</v>
      </c>
      <c r="I22" s="485">
        <v>4000</v>
      </c>
    </row>
    <row r="23" spans="1:9" ht="15.75" customHeight="1">
      <c r="A23" s="195" t="s">
        <v>253</v>
      </c>
      <c r="B23" s="461" t="s">
        <v>1091</v>
      </c>
      <c r="C23" s="502">
        <v>0</v>
      </c>
      <c r="D23" s="502">
        <v>9600</v>
      </c>
      <c r="E23" s="502">
        <v>9600</v>
      </c>
      <c r="F23" s="502">
        <v>9600</v>
      </c>
      <c r="G23" s="502"/>
      <c r="H23" s="465"/>
      <c r="I23" s="485"/>
    </row>
    <row r="24" spans="1:9" ht="15.75" customHeight="1">
      <c r="A24" s="195" t="s">
        <v>508</v>
      </c>
      <c r="B24" s="501" t="s">
        <v>1092</v>
      </c>
      <c r="C24" s="285">
        <v>0</v>
      </c>
      <c r="D24" s="285"/>
      <c r="E24" s="285"/>
      <c r="F24" s="285"/>
      <c r="G24" s="285"/>
      <c r="H24" s="470">
        <v>0</v>
      </c>
      <c r="I24" s="488">
        <v>2250</v>
      </c>
    </row>
    <row r="25" spans="1:9" ht="15.75" customHeight="1">
      <c r="A25" s="195" t="s">
        <v>1093</v>
      </c>
      <c r="B25" s="501" t="s">
        <v>1094</v>
      </c>
      <c r="C25" s="285">
        <v>7800</v>
      </c>
      <c r="D25" s="285">
        <v>5000</v>
      </c>
      <c r="E25" s="285">
        <v>1776</v>
      </c>
      <c r="F25" s="285">
        <v>1776</v>
      </c>
      <c r="G25" s="285">
        <v>804</v>
      </c>
      <c r="H25" s="466">
        <v>1200</v>
      </c>
      <c r="I25" s="486">
        <v>1200</v>
      </c>
    </row>
    <row r="26" spans="1:9" ht="15.75" customHeight="1">
      <c r="A26" s="489" t="s">
        <v>196</v>
      </c>
      <c r="B26" s="462"/>
      <c r="C26" s="471">
        <f>SUM(C4:C25)</f>
        <v>371379</v>
      </c>
      <c r="D26" s="471">
        <f>SUM(D4:D25)</f>
        <v>345674</v>
      </c>
      <c r="E26" s="471">
        <f>SUM(E4:E25)</f>
        <v>335725</v>
      </c>
      <c r="F26" s="471">
        <f>SUM(F4:F25)</f>
        <v>282221</v>
      </c>
      <c r="G26" s="471">
        <f>SUM(G4:G25)</f>
        <v>348036</v>
      </c>
      <c r="H26" s="471">
        <f>SUM(H5:H25)</f>
        <v>269973.52</v>
      </c>
      <c r="I26" s="490">
        <f t="shared" ref="I26" si="0">SUM(I5:I25)</f>
        <v>256966</v>
      </c>
    </row>
    <row r="27" spans="1:9" ht="12.95" customHeight="1">
      <c r="A27" s="800" t="s">
        <v>87</v>
      </c>
      <c r="B27" s="472" t="s">
        <v>1095</v>
      </c>
      <c r="C27" s="473"/>
      <c r="D27" s="473"/>
      <c r="E27" s="472"/>
      <c r="F27" s="473"/>
      <c r="G27" s="473"/>
      <c r="H27" s="472"/>
      <c r="I27" s="491"/>
    </row>
    <row r="28" spans="1:9" ht="15.75" customHeight="1">
      <c r="A28" s="483" t="s">
        <v>157</v>
      </c>
      <c r="B28" s="474"/>
      <c r="C28" s="475"/>
      <c r="D28" s="475"/>
      <c r="E28" s="474"/>
      <c r="F28" s="475"/>
      <c r="G28" s="475"/>
      <c r="H28" s="474"/>
      <c r="I28" s="492"/>
    </row>
    <row r="29" spans="1:9" ht="15.75" customHeight="1">
      <c r="A29" s="195" t="s">
        <v>1096</v>
      </c>
      <c r="B29" s="501" t="s">
        <v>1097</v>
      </c>
      <c r="C29" s="285">
        <v>0</v>
      </c>
      <c r="D29" s="285"/>
      <c r="E29" s="501"/>
      <c r="F29" s="285"/>
      <c r="G29" s="285">
        <v>60439</v>
      </c>
      <c r="H29" s="465">
        <v>59661</v>
      </c>
      <c r="I29" s="485">
        <v>57076</v>
      </c>
    </row>
    <row r="30" spans="1:9" ht="15.75" customHeight="1">
      <c r="A30" s="195" t="s">
        <v>527</v>
      </c>
      <c r="B30" s="501" t="s">
        <v>1098</v>
      </c>
      <c r="C30" s="285">
        <v>0</v>
      </c>
      <c r="D30" s="285"/>
      <c r="E30" s="501"/>
      <c r="F30" s="285"/>
      <c r="G30" s="285">
        <v>20549</v>
      </c>
      <c r="H30" s="465">
        <v>17083</v>
      </c>
      <c r="I30" s="485">
        <v>15981</v>
      </c>
    </row>
    <row r="31" spans="1:9" ht="15.75" customHeight="1">
      <c r="A31" s="483" t="s">
        <v>170</v>
      </c>
      <c r="B31" s="476"/>
      <c r="C31" s="359"/>
      <c r="D31" s="359"/>
      <c r="E31" s="476"/>
      <c r="F31" s="359"/>
      <c r="G31" s="359"/>
      <c r="H31" s="477"/>
      <c r="I31" s="493"/>
    </row>
    <row r="32" spans="1:9" ht="15.75" customHeight="1">
      <c r="A32" s="195" t="s">
        <v>171</v>
      </c>
      <c r="B32" s="501" t="s">
        <v>1099</v>
      </c>
      <c r="C32" s="285">
        <v>0</v>
      </c>
      <c r="D32" s="285"/>
      <c r="E32" s="501"/>
      <c r="F32" s="285"/>
      <c r="G32" s="285">
        <v>495</v>
      </c>
      <c r="H32" s="465">
        <v>500</v>
      </c>
      <c r="I32" s="485">
        <v>541</v>
      </c>
    </row>
    <row r="33" spans="1:10" ht="15.75" customHeight="1">
      <c r="A33" s="195" t="s">
        <v>374</v>
      </c>
      <c r="B33" s="501" t="s">
        <v>1100</v>
      </c>
      <c r="C33" s="285">
        <v>0</v>
      </c>
      <c r="D33" s="285"/>
      <c r="E33" s="501"/>
      <c r="F33" s="285"/>
      <c r="G33" s="285">
        <v>22</v>
      </c>
      <c r="H33" s="465">
        <v>22</v>
      </c>
      <c r="I33" s="485">
        <v>22</v>
      </c>
    </row>
    <row r="34" spans="1:10" ht="15.75" customHeight="1">
      <c r="A34" s="195" t="s">
        <v>1101</v>
      </c>
      <c r="B34" s="501" t="s">
        <v>1102</v>
      </c>
      <c r="C34" s="285"/>
      <c r="D34" s="285"/>
      <c r="E34" s="501"/>
      <c r="F34" s="285"/>
      <c r="G34" s="285">
        <v>10</v>
      </c>
      <c r="H34" s="465">
        <v>10</v>
      </c>
      <c r="I34" s="485">
        <v>10</v>
      </c>
    </row>
    <row r="35" spans="1:10" ht="15.75" customHeight="1">
      <c r="A35" s="195" t="s">
        <v>184</v>
      </c>
      <c r="B35" s="501" t="s">
        <v>1103</v>
      </c>
      <c r="C35" s="285">
        <v>0</v>
      </c>
      <c r="D35" s="285"/>
      <c r="E35" s="501"/>
      <c r="F35" s="285"/>
      <c r="G35" s="285">
        <v>224</v>
      </c>
      <c r="H35" s="465">
        <v>100</v>
      </c>
      <c r="I35" s="485">
        <v>224</v>
      </c>
    </row>
    <row r="36" spans="1:10" ht="15.75" customHeight="1">
      <c r="A36" s="195" t="s">
        <v>547</v>
      </c>
      <c r="B36" s="501" t="s">
        <v>1104</v>
      </c>
      <c r="C36" s="285">
        <v>0</v>
      </c>
      <c r="D36" s="285"/>
      <c r="E36" s="501"/>
      <c r="F36" s="285"/>
      <c r="G36" s="285">
        <v>1500</v>
      </c>
      <c r="H36" s="465"/>
      <c r="I36" s="485"/>
    </row>
    <row r="37" spans="1:10" ht="15.75" customHeight="1">
      <c r="A37" s="195" t="s">
        <v>409</v>
      </c>
      <c r="B37" s="501" t="s">
        <v>1105</v>
      </c>
      <c r="C37" s="285">
        <v>0</v>
      </c>
      <c r="D37" s="285"/>
      <c r="E37" s="501"/>
      <c r="F37" s="285"/>
      <c r="G37" s="285">
        <v>15</v>
      </c>
      <c r="H37" s="465">
        <v>15</v>
      </c>
      <c r="I37" s="485">
        <v>15</v>
      </c>
    </row>
    <row r="38" spans="1:10" ht="15.75" customHeight="1">
      <c r="A38" s="483" t="s">
        <v>1086</v>
      </c>
      <c r="B38" s="476"/>
      <c r="C38" s="359"/>
      <c r="D38" s="359"/>
      <c r="E38" s="476"/>
      <c r="F38" s="359"/>
      <c r="G38" s="359"/>
      <c r="H38" s="477"/>
      <c r="I38" s="493"/>
    </row>
    <row r="39" spans="1:10" ht="15.75" customHeight="1">
      <c r="A39" s="195" t="s">
        <v>1106</v>
      </c>
      <c r="B39" s="501" t="s">
        <v>1107</v>
      </c>
      <c r="C39" s="285">
        <v>0</v>
      </c>
      <c r="D39" s="285"/>
      <c r="E39" s="501"/>
      <c r="F39" s="285"/>
      <c r="G39" s="285">
        <v>4000</v>
      </c>
      <c r="H39" s="465">
        <v>1500</v>
      </c>
      <c r="I39" s="485">
        <v>1331.52</v>
      </c>
    </row>
    <row r="40" spans="1:10" ht="15.75" customHeight="1">
      <c r="A40" s="195" t="s">
        <v>1088</v>
      </c>
      <c r="B40" s="501" t="s">
        <v>1108</v>
      </c>
      <c r="C40" s="285">
        <v>0</v>
      </c>
      <c r="D40" s="285"/>
      <c r="E40" s="501"/>
      <c r="F40" s="285"/>
      <c r="G40" s="285">
        <v>499</v>
      </c>
      <c r="H40" s="465"/>
      <c r="I40" s="485"/>
    </row>
    <row r="41" spans="1:10" ht="15.75" customHeight="1">
      <c r="A41" s="195" t="s">
        <v>1109</v>
      </c>
      <c r="B41" s="501" t="s">
        <v>1110</v>
      </c>
      <c r="C41" s="285">
        <v>0</v>
      </c>
      <c r="D41" s="285"/>
      <c r="E41" s="501"/>
      <c r="F41" s="285"/>
      <c r="G41" s="285">
        <v>1000</v>
      </c>
      <c r="H41" s="465"/>
      <c r="I41" s="485">
        <f>1500+1000</f>
        <v>2500</v>
      </c>
    </row>
    <row r="42" spans="1:10" ht="15.75" customHeight="1">
      <c r="A42" s="195" t="s">
        <v>377</v>
      </c>
      <c r="B42" s="501" t="s">
        <v>1111</v>
      </c>
      <c r="C42" s="285"/>
      <c r="D42" s="285"/>
      <c r="E42" s="501"/>
      <c r="F42" s="285"/>
      <c r="G42" s="285">
        <v>100</v>
      </c>
      <c r="H42" s="465">
        <v>100</v>
      </c>
      <c r="I42" s="485">
        <v>100</v>
      </c>
    </row>
    <row r="43" spans="1:10" ht="15">
      <c r="A43" s="489" t="s">
        <v>955</v>
      </c>
      <c r="B43" s="462"/>
      <c r="C43" s="365">
        <f t="shared" ref="C43:E43" si="1">SUM(C29:C42)</f>
        <v>0</v>
      </c>
      <c r="D43" s="365">
        <f t="shared" si="1"/>
        <v>0</v>
      </c>
      <c r="E43" s="365">
        <f t="shared" si="1"/>
        <v>0</v>
      </c>
      <c r="F43" s="365">
        <f>SUM(F29:F42)</f>
        <v>0</v>
      </c>
      <c r="G43" s="365">
        <f>SUM(G29:G42)</f>
        <v>88853</v>
      </c>
      <c r="H43" s="471">
        <f t="shared" ref="H43:I43" si="2">SUM(H29:H42)</f>
        <v>78991</v>
      </c>
      <c r="I43" s="490">
        <f t="shared" si="2"/>
        <v>77800.52</v>
      </c>
    </row>
    <row r="44" spans="1:10" ht="12.95" customHeight="1">
      <c r="A44" s="489" t="s">
        <v>85</v>
      </c>
      <c r="B44" s="472" t="s">
        <v>1112</v>
      </c>
      <c r="C44" s="473"/>
      <c r="D44" s="473"/>
      <c r="E44" s="472"/>
      <c r="F44" s="473"/>
      <c r="G44" s="473"/>
      <c r="H44" s="472"/>
      <c r="I44" s="491"/>
    </row>
    <row r="45" spans="1:10" ht="15.75" customHeight="1">
      <c r="A45" s="483" t="s">
        <v>157</v>
      </c>
      <c r="B45" s="474"/>
      <c r="C45" s="475"/>
      <c r="D45" s="475"/>
      <c r="E45" s="474"/>
      <c r="F45" s="475"/>
      <c r="G45" s="475"/>
      <c r="H45" s="474"/>
      <c r="I45" s="492"/>
    </row>
    <row r="46" spans="1:10" ht="15.75" customHeight="1">
      <c r="A46" s="195" t="s">
        <v>1096</v>
      </c>
      <c r="B46" s="501" t="s">
        <v>1113</v>
      </c>
      <c r="C46" s="285"/>
      <c r="D46" s="285"/>
      <c r="E46" s="285">
        <v>0</v>
      </c>
      <c r="F46" s="285">
        <v>0</v>
      </c>
      <c r="G46" s="285">
        <v>65000</v>
      </c>
      <c r="H46" s="465">
        <v>60000</v>
      </c>
      <c r="I46" s="485">
        <v>57076</v>
      </c>
    </row>
    <row r="47" spans="1:10" ht="15.75" customHeight="1">
      <c r="A47" s="195" t="s">
        <v>1072</v>
      </c>
      <c r="B47" s="501" t="s">
        <v>1114</v>
      </c>
      <c r="C47" s="801">
        <v>6351</v>
      </c>
      <c r="D47" s="801">
        <v>0</v>
      </c>
      <c r="E47" s="285">
        <v>17467.5</v>
      </c>
      <c r="F47" s="285">
        <v>17467.5</v>
      </c>
      <c r="G47" s="285">
        <v>28080</v>
      </c>
      <c r="H47" s="465"/>
      <c r="I47" s="485"/>
    </row>
    <row r="48" spans="1:10" ht="15.75" customHeight="1">
      <c r="A48" s="195" t="s">
        <v>527</v>
      </c>
      <c r="B48" s="501" t="s">
        <v>1115</v>
      </c>
      <c r="C48" s="801">
        <v>1279</v>
      </c>
      <c r="D48" s="801">
        <v>417</v>
      </c>
      <c r="E48" s="285">
        <v>2585.19</v>
      </c>
      <c r="F48" s="285">
        <v>2585.19</v>
      </c>
      <c r="G48" s="285">
        <v>22100</v>
      </c>
      <c r="H48" s="465">
        <v>22100</v>
      </c>
      <c r="I48" s="485">
        <v>15981</v>
      </c>
      <c r="J48" s="148"/>
    </row>
    <row r="49" spans="1:10" ht="15.75" customHeight="1">
      <c r="A49" s="483" t="s">
        <v>170</v>
      </c>
      <c r="B49" s="476"/>
      <c r="C49" s="359"/>
      <c r="D49" s="359"/>
      <c r="E49" s="359"/>
      <c r="F49" s="359"/>
      <c r="G49" s="359"/>
      <c r="H49" s="477"/>
      <c r="I49" s="493"/>
      <c r="J49" s="148"/>
    </row>
    <row r="50" spans="1:10" ht="15.75" customHeight="1">
      <c r="A50" s="195" t="s">
        <v>171</v>
      </c>
      <c r="B50" s="501" t="s">
        <v>1116</v>
      </c>
      <c r="C50" s="285">
        <v>0</v>
      </c>
      <c r="D50" s="285">
        <v>540</v>
      </c>
      <c r="E50" s="285">
        <v>540</v>
      </c>
      <c r="F50" s="285">
        <v>540</v>
      </c>
      <c r="G50" s="285">
        <v>540</v>
      </c>
      <c r="H50" s="465">
        <v>500</v>
      </c>
      <c r="I50" s="485">
        <v>541</v>
      </c>
    </row>
    <row r="51" spans="1:10" ht="15.75" customHeight="1">
      <c r="A51" s="195" t="s">
        <v>374</v>
      </c>
      <c r="B51" s="501" t="s">
        <v>1117</v>
      </c>
      <c r="C51" s="285"/>
      <c r="D51" s="285"/>
      <c r="E51" s="285">
        <v>0</v>
      </c>
      <c r="F51" s="285">
        <v>0</v>
      </c>
      <c r="G51" s="285">
        <v>400</v>
      </c>
      <c r="H51" s="465">
        <v>200</v>
      </c>
      <c r="I51" s="485">
        <v>22</v>
      </c>
    </row>
    <row r="52" spans="1:10" ht="15.75" customHeight="1">
      <c r="A52" s="195" t="s">
        <v>1118</v>
      </c>
      <c r="B52" s="501" t="s">
        <v>1119</v>
      </c>
      <c r="C52" s="285"/>
      <c r="D52" s="285">
        <v>251</v>
      </c>
      <c r="E52" s="285"/>
      <c r="F52" s="285"/>
      <c r="G52" s="285"/>
      <c r="H52" s="465"/>
      <c r="I52" s="485">
        <v>10</v>
      </c>
    </row>
    <row r="53" spans="1:10" ht="15.75" customHeight="1">
      <c r="A53" s="195" t="s">
        <v>668</v>
      </c>
      <c r="B53" s="501" t="s">
        <v>1120</v>
      </c>
      <c r="C53" s="285">
        <v>15000</v>
      </c>
      <c r="D53" s="285">
        <v>19385</v>
      </c>
      <c r="E53" s="285">
        <v>20000</v>
      </c>
      <c r="F53" s="285">
        <v>20000</v>
      </c>
      <c r="G53" s="285">
        <v>500</v>
      </c>
      <c r="H53" s="465"/>
      <c r="I53" s="485"/>
    </row>
    <row r="54" spans="1:10" ht="15.75" customHeight="1">
      <c r="A54" s="195" t="s">
        <v>1121</v>
      </c>
      <c r="B54" s="501" t="s">
        <v>1122</v>
      </c>
      <c r="C54" s="285"/>
      <c r="D54" s="285"/>
      <c r="E54" s="285">
        <v>0</v>
      </c>
      <c r="F54" s="285">
        <v>0</v>
      </c>
      <c r="G54" s="285">
        <v>150</v>
      </c>
      <c r="H54" s="465"/>
      <c r="I54" s="485"/>
    </row>
    <row r="55" spans="1:10" ht="15.75" customHeight="1">
      <c r="A55" s="195" t="s">
        <v>184</v>
      </c>
      <c r="B55" s="501" t="s">
        <v>1123</v>
      </c>
      <c r="C55" s="285"/>
      <c r="D55" s="285"/>
      <c r="E55" s="285">
        <v>0</v>
      </c>
      <c r="F55" s="285">
        <v>0</v>
      </c>
      <c r="G55" s="285">
        <v>2500</v>
      </c>
      <c r="H55" s="465">
        <v>2500</v>
      </c>
      <c r="I55" s="485">
        <v>224</v>
      </c>
    </row>
    <row r="56" spans="1:10" ht="15.75" customHeight="1">
      <c r="A56" s="195" t="s">
        <v>409</v>
      </c>
      <c r="B56" s="501" t="s">
        <v>1124</v>
      </c>
      <c r="C56" s="285"/>
      <c r="D56" s="285"/>
      <c r="E56" s="285">
        <v>0</v>
      </c>
      <c r="F56" s="285">
        <v>0</v>
      </c>
      <c r="G56" s="285">
        <v>200</v>
      </c>
      <c r="H56" s="465">
        <v>50</v>
      </c>
      <c r="I56" s="485">
        <v>15</v>
      </c>
    </row>
    <row r="57" spans="1:10" ht="15.75" customHeight="1">
      <c r="A57" s="483" t="s">
        <v>1086</v>
      </c>
      <c r="B57" s="476"/>
      <c r="C57" s="359"/>
      <c r="D57" s="359"/>
      <c r="E57" s="359"/>
      <c r="F57" s="359"/>
      <c r="G57" s="359"/>
      <c r="H57" s="477"/>
      <c r="I57" s="493"/>
    </row>
    <row r="58" spans="1:10" ht="15.75" customHeight="1">
      <c r="A58" s="195" t="s">
        <v>1106</v>
      </c>
      <c r="B58" s="501" t="s">
        <v>1125</v>
      </c>
      <c r="C58" s="285"/>
      <c r="D58" s="285"/>
      <c r="E58" s="285">
        <v>0</v>
      </c>
      <c r="F58" s="285">
        <v>0</v>
      </c>
      <c r="G58" s="285">
        <v>500</v>
      </c>
      <c r="H58" s="465">
        <v>500</v>
      </c>
      <c r="I58" s="485">
        <v>1331.52</v>
      </c>
    </row>
    <row r="59" spans="1:10" ht="15.75" customHeight="1">
      <c r="A59" s="195" t="s">
        <v>404</v>
      </c>
      <c r="B59" s="501" t="s">
        <v>1126</v>
      </c>
      <c r="C59" s="285">
        <v>10000</v>
      </c>
      <c r="D59" s="285">
        <v>5000</v>
      </c>
      <c r="E59" s="285">
        <v>5000</v>
      </c>
      <c r="F59" s="285">
        <v>5000</v>
      </c>
      <c r="G59" s="285">
        <v>2700</v>
      </c>
      <c r="H59" s="465">
        <v>0</v>
      </c>
      <c r="I59" s="485">
        <f>1500+1000</f>
        <v>2500</v>
      </c>
    </row>
    <row r="60" spans="1:10" ht="15.75" customHeight="1">
      <c r="A60" s="195" t="s">
        <v>377</v>
      </c>
      <c r="B60" s="501" t="s">
        <v>1127</v>
      </c>
      <c r="C60" s="285"/>
      <c r="D60" s="285"/>
      <c r="E60" s="285">
        <v>0</v>
      </c>
      <c r="F60" s="285">
        <v>0</v>
      </c>
      <c r="G60" s="285">
        <v>500</v>
      </c>
      <c r="H60" s="465">
        <v>500</v>
      </c>
      <c r="I60" s="485">
        <v>100</v>
      </c>
    </row>
    <row r="61" spans="1:10" ht="15.75" customHeight="1">
      <c r="A61" s="503" t="s">
        <v>1128</v>
      </c>
      <c r="B61" s="501" t="s">
        <v>1129</v>
      </c>
      <c r="C61" s="285"/>
      <c r="D61" s="285"/>
      <c r="E61" s="148">
        <v>0</v>
      </c>
      <c r="F61" s="148">
        <v>0</v>
      </c>
      <c r="G61" s="148">
        <v>500</v>
      </c>
      <c r="I61" s="504"/>
    </row>
    <row r="62" spans="1:10" ht="15">
      <c r="A62" s="423" t="s">
        <v>733</v>
      </c>
      <c r="B62" s="501"/>
      <c r="C62" s="285"/>
      <c r="D62" s="285"/>
      <c r="E62" s="285"/>
      <c r="F62" s="285"/>
      <c r="G62" s="285"/>
      <c r="H62" s="501"/>
      <c r="I62" s="505"/>
    </row>
    <row r="63" spans="1:10" ht="15">
      <c r="A63" s="195" t="s">
        <v>737</v>
      </c>
      <c r="B63" s="501" t="s">
        <v>1130</v>
      </c>
      <c r="C63" s="285"/>
      <c r="D63" s="285"/>
      <c r="E63" s="285">
        <v>0</v>
      </c>
      <c r="F63" s="285">
        <v>-5400</v>
      </c>
      <c r="G63" s="285"/>
      <c r="H63" s="501"/>
      <c r="I63" s="505"/>
    </row>
    <row r="64" spans="1:10" ht="15">
      <c r="A64" s="489" t="s">
        <v>955</v>
      </c>
      <c r="B64" s="462"/>
      <c r="C64" s="365">
        <f>SUM(C46:C63)</f>
        <v>32630</v>
      </c>
      <c r="D64" s="365">
        <f>SUM(D46:D63)</f>
        <v>25593</v>
      </c>
      <c r="E64" s="365">
        <f>SUM(E46:E63)</f>
        <v>45592.69</v>
      </c>
      <c r="F64" s="365">
        <f>SUM(F46:F63)</f>
        <v>40192.69</v>
      </c>
      <c r="G64" s="365">
        <f>SUM(G46:G62)</f>
        <v>123670</v>
      </c>
      <c r="H64" s="471">
        <f>SUM(H46:H60)</f>
        <v>86350</v>
      </c>
      <c r="I64" s="490">
        <f>SUM(I46:I60)</f>
        <v>77800.52</v>
      </c>
    </row>
    <row r="65" spans="1:9" ht="15.95">
      <c r="A65" s="489" t="s">
        <v>1131</v>
      </c>
      <c r="B65" s="472" t="s">
        <v>1132</v>
      </c>
      <c r="C65" s="473"/>
      <c r="D65" s="473"/>
      <c r="E65" s="472"/>
      <c r="F65" s="473"/>
      <c r="G65" s="473"/>
      <c r="H65" s="472"/>
      <c r="I65" s="491"/>
    </row>
    <row r="66" spans="1:9" ht="15.95">
      <c r="A66" s="483" t="s">
        <v>157</v>
      </c>
      <c r="B66" s="474"/>
      <c r="C66" s="475"/>
      <c r="D66" s="475"/>
      <c r="E66" s="474"/>
      <c r="F66" s="475"/>
      <c r="G66" s="475"/>
      <c r="H66" s="474"/>
      <c r="I66" s="492"/>
    </row>
    <row r="67" spans="1:9" ht="15">
      <c r="A67" s="195" t="s">
        <v>1096</v>
      </c>
      <c r="B67" s="501" t="s">
        <v>1133</v>
      </c>
      <c r="C67" s="285">
        <v>56948</v>
      </c>
      <c r="D67" s="285">
        <v>55166</v>
      </c>
      <c r="E67" s="285">
        <v>55166</v>
      </c>
      <c r="F67" s="285">
        <v>55166</v>
      </c>
      <c r="G67" s="285">
        <v>52008</v>
      </c>
      <c r="H67" s="465">
        <v>52008</v>
      </c>
      <c r="I67" s="485">
        <v>50004</v>
      </c>
    </row>
    <row r="68" spans="1:9" ht="15">
      <c r="A68" s="195" t="s">
        <v>829</v>
      </c>
      <c r="B68" s="501" t="s">
        <v>1134</v>
      </c>
      <c r="C68" s="285">
        <v>39786</v>
      </c>
      <c r="D68" s="285">
        <v>36312</v>
      </c>
      <c r="E68" s="285">
        <v>38943</v>
      </c>
      <c r="F68" s="285">
        <v>38943</v>
      </c>
      <c r="G68" s="285">
        <v>19420</v>
      </c>
      <c r="H68" s="465">
        <v>19420</v>
      </c>
      <c r="I68" s="485">
        <v>16836</v>
      </c>
    </row>
    <row r="69" spans="1:9" ht="15">
      <c r="A69" s="195" t="s">
        <v>483</v>
      </c>
      <c r="B69" s="501" t="s">
        <v>1135</v>
      </c>
      <c r="C69" s="285">
        <v>24751</v>
      </c>
      <c r="D69" s="285">
        <v>24129</v>
      </c>
      <c r="E69" s="285">
        <v>24129</v>
      </c>
      <c r="F69" s="285">
        <v>24129</v>
      </c>
      <c r="G69" s="285">
        <v>21200</v>
      </c>
      <c r="H69" s="465">
        <v>16040.83</v>
      </c>
      <c r="I69" s="485">
        <v>14070</v>
      </c>
    </row>
    <row r="70" spans="1:9" ht="15">
      <c r="A70" s="195" t="s">
        <v>568</v>
      </c>
      <c r="B70" s="501" t="s">
        <v>1136</v>
      </c>
      <c r="C70" s="285">
        <v>270</v>
      </c>
      <c r="D70" s="285"/>
      <c r="E70" s="285"/>
      <c r="F70" s="285"/>
      <c r="G70" s="285"/>
      <c r="H70" s="465"/>
      <c r="I70" s="485"/>
    </row>
    <row r="71" spans="1:9" ht="15">
      <c r="A71" s="483" t="s">
        <v>170</v>
      </c>
      <c r="B71" s="476"/>
      <c r="C71" s="359"/>
      <c r="D71" s="359"/>
      <c r="E71" s="359"/>
      <c r="F71" s="359"/>
      <c r="G71" s="359"/>
      <c r="H71" s="476"/>
      <c r="I71" s="494"/>
    </row>
    <row r="72" spans="1:9" ht="15">
      <c r="A72" s="195" t="s">
        <v>171</v>
      </c>
      <c r="B72" s="501" t="s">
        <v>1137</v>
      </c>
      <c r="C72" s="285">
        <v>1080</v>
      </c>
      <c r="D72" s="285">
        <v>1080</v>
      </c>
      <c r="E72" s="285">
        <v>1080</v>
      </c>
      <c r="F72" s="285">
        <v>1080</v>
      </c>
      <c r="G72" s="285">
        <v>1080</v>
      </c>
      <c r="H72" s="465">
        <v>1080</v>
      </c>
      <c r="I72" s="485">
        <v>1080</v>
      </c>
    </row>
    <row r="73" spans="1:9" ht="15">
      <c r="A73" s="195" t="s">
        <v>374</v>
      </c>
      <c r="B73" s="501" t="s">
        <v>1138</v>
      </c>
      <c r="C73" s="285">
        <v>300</v>
      </c>
      <c r="D73" s="285">
        <v>120</v>
      </c>
      <c r="E73" s="285">
        <v>120</v>
      </c>
      <c r="F73" s="285">
        <v>120</v>
      </c>
      <c r="G73" s="285">
        <v>59</v>
      </c>
      <c r="H73" s="465">
        <v>59</v>
      </c>
      <c r="I73" s="485">
        <v>240</v>
      </c>
    </row>
    <row r="74" spans="1:9" ht="15">
      <c r="A74" s="195" t="s">
        <v>1088</v>
      </c>
      <c r="B74" s="501" t="s">
        <v>1139</v>
      </c>
      <c r="C74" s="285">
        <v>330</v>
      </c>
      <c r="D74" s="285"/>
      <c r="E74" s="285">
        <v>0</v>
      </c>
      <c r="F74" s="285">
        <v>0</v>
      </c>
      <c r="G74" s="285"/>
      <c r="H74" s="465">
        <v>0</v>
      </c>
      <c r="I74" s="485">
        <v>60</v>
      </c>
    </row>
    <row r="75" spans="1:9" ht="15">
      <c r="A75" s="195" t="s">
        <v>379</v>
      </c>
      <c r="B75" s="501" t="s">
        <v>1140</v>
      </c>
      <c r="C75" s="285">
        <v>120</v>
      </c>
      <c r="D75" s="285">
        <v>60</v>
      </c>
      <c r="E75" s="285">
        <v>60</v>
      </c>
      <c r="F75" s="285">
        <v>60</v>
      </c>
      <c r="G75" s="285">
        <v>91</v>
      </c>
      <c r="H75" s="465">
        <v>80</v>
      </c>
      <c r="I75" s="485">
        <v>60</v>
      </c>
    </row>
    <row r="76" spans="1:9" ht="15">
      <c r="A76" s="483" t="s">
        <v>1141</v>
      </c>
      <c r="B76" s="476"/>
      <c r="C76" s="359"/>
      <c r="D76" s="359"/>
      <c r="E76" s="359"/>
      <c r="F76" s="359"/>
      <c r="G76" s="359"/>
      <c r="H76" s="477"/>
      <c r="I76" s="493"/>
    </row>
    <row r="77" spans="1:9" ht="15">
      <c r="A77" s="195" t="s">
        <v>535</v>
      </c>
      <c r="B77" s="501" t="s">
        <v>1142</v>
      </c>
      <c r="C77" s="285">
        <v>0</v>
      </c>
      <c r="D77" s="285">
        <v>300</v>
      </c>
      <c r="E77" s="285">
        <v>300</v>
      </c>
      <c r="F77" s="285">
        <v>300</v>
      </c>
      <c r="G77" s="285"/>
      <c r="H77" s="465">
        <v>0</v>
      </c>
      <c r="I77" s="485">
        <v>240</v>
      </c>
    </row>
    <row r="78" spans="1:9" ht="15">
      <c r="A78" s="195" t="s">
        <v>547</v>
      </c>
      <c r="B78" s="501" t="s">
        <v>1139</v>
      </c>
      <c r="C78" s="285">
        <v>250</v>
      </c>
      <c r="D78" s="285">
        <v>50</v>
      </c>
      <c r="E78" s="285">
        <v>50</v>
      </c>
      <c r="F78" s="285">
        <v>50</v>
      </c>
      <c r="G78" s="285">
        <v>140</v>
      </c>
      <c r="H78" s="501"/>
      <c r="I78" s="505"/>
    </row>
    <row r="79" spans="1:9" ht="15">
      <c r="A79" s="195" t="s">
        <v>1118</v>
      </c>
      <c r="B79" s="501" t="s">
        <v>1143</v>
      </c>
      <c r="C79" s="285">
        <v>540</v>
      </c>
      <c r="D79" s="285">
        <v>458</v>
      </c>
      <c r="E79" s="285">
        <v>458</v>
      </c>
      <c r="F79" s="285">
        <v>458</v>
      </c>
      <c r="G79" s="285"/>
      <c r="H79" s="501"/>
      <c r="I79" s="505"/>
    </row>
    <row r="80" spans="1:9" ht="15">
      <c r="A80" s="195" t="s">
        <v>184</v>
      </c>
      <c r="B80" s="501" t="s">
        <v>1144</v>
      </c>
      <c r="C80" s="285">
        <v>302</v>
      </c>
      <c r="D80" s="285">
        <v>400</v>
      </c>
      <c r="E80" s="285">
        <v>400</v>
      </c>
      <c r="F80" s="285">
        <v>400</v>
      </c>
      <c r="G80" s="285">
        <v>1200</v>
      </c>
      <c r="H80" s="478">
        <v>1000</v>
      </c>
      <c r="I80" s="495">
        <v>960</v>
      </c>
    </row>
    <row r="81" spans="1:9" ht="15">
      <c r="A81" s="483" t="s">
        <v>1086</v>
      </c>
      <c r="B81" s="476"/>
      <c r="C81" s="359"/>
      <c r="D81" s="359"/>
      <c r="E81" s="359"/>
      <c r="F81" s="359"/>
      <c r="G81" s="359"/>
      <c r="H81" s="476"/>
      <c r="I81" s="494"/>
    </row>
    <row r="82" spans="1:9" ht="15">
      <c r="A82" s="195" t="s">
        <v>668</v>
      </c>
      <c r="B82" s="501" t="s">
        <v>1145</v>
      </c>
      <c r="C82" s="285">
        <v>400</v>
      </c>
      <c r="D82" s="285">
        <v>400</v>
      </c>
      <c r="E82" s="285">
        <v>400</v>
      </c>
      <c r="F82" s="285">
        <v>400</v>
      </c>
      <c r="G82" s="285">
        <v>200</v>
      </c>
      <c r="H82" s="465">
        <v>200</v>
      </c>
      <c r="I82" s="485">
        <v>30</v>
      </c>
    </row>
    <row r="83" spans="1:9" ht="15" hidden="1">
      <c r="A83" s="195" t="s">
        <v>1128</v>
      </c>
      <c r="B83" s="501" t="s">
        <v>1146</v>
      </c>
      <c r="C83" s="285"/>
      <c r="D83" s="285"/>
      <c r="E83" s="285"/>
      <c r="F83" s="285"/>
      <c r="G83" s="285"/>
      <c r="H83" s="501"/>
      <c r="I83" s="505"/>
    </row>
    <row r="84" spans="1:9" ht="15" hidden="1">
      <c r="A84" s="195" t="s">
        <v>404</v>
      </c>
      <c r="B84" s="501" t="s">
        <v>1147</v>
      </c>
      <c r="C84" s="285"/>
      <c r="D84" s="285"/>
      <c r="E84" s="285"/>
      <c r="F84" s="285"/>
      <c r="G84" s="285"/>
      <c r="H84" s="501"/>
      <c r="I84" s="505"/>
    </row>
    <row r="85" spans="1:9" ht="15" hidden="1">
      <c r="A85" s="195" t="s">
        <v>307</v>
      </c>
      <c r="B85" s="501" t="s">
        <v>1148</v>
      </c>
      <c r="C85" s="285"/>
      <c r="D85" s="285"/>
      <c r="E85" s="285"/>
      <c r="F85" s="285"/>
      <c r="G85" s="285"/>
      <c r="H85" s="501"/>
      <c r="I85" s="505"/>
    </row>
    <row r="86" spans="1:9" ht="15">
      <c r="A86" s="423" t="s">
        <v>733</v>
      </c>
      <c r="B86" s="501"/>
      <c r="C86" s="285"/>
      <c r="D86" s="285"/>
      <c r="E86" s="285"/>
      <c r="F86" s="285"/>
      <c r="G86" s="285"/>
      <c r="H86" s="501"/>
      <c r="I86" s="505"/>
    </row>
    <row r="87" spans="1:9" ht="15">
      <c r="A87" s="195" t="s">
        <v>586</v>
      </c>
      <c r="B87" s="501" t="s">
        <v>1149</v>
      </c>
      <c r="C87" s="285">
        <v>-12600</v>
      </c>
      <c r="D87" s="285">
        <v>-12600</v>
      </c>
      <c r="E87" s="285">
        <v>-12600</v>
      </c>
      <c r="F87" s="285">
        <v>-12600</v>
      </c>
      <c r="G87" s="285"/>
      <c r="H87" s="501"/>
      <c r="I87" s="505"/>
    </row>
    <row r="88" spans="1:9" ht="15">
      <c r="A88" s="489" t="s">
        <v>955</v>
      </c>
      <c r="B88" s="462"/>
      <c r="C88" s="365">
        <f t="shared" ref="C88:H88" si="3">SUM(C67:C87)</f>
        <v>112477</v>
      </c>
      <c r="D88" s="365">
        <f t="shared" si="3"/>
        <v>105875</v>
      </c>
      <c r="E88" s="365">
        <f t="shared" si="3"/>
        <v>108506</v>
      </c>
      <c r="F88" s="365">
        <f t="shared" si="3"/>
        <v>108506</v>
      </c>
      <c r="G88" s="365">
        <f t="shared" si="3"/>
        <v>95398</v>
      </c>
      <c r="H88" s="471">
        <f t="shared" si="3"/>
        <v>89887.83</v>
      </c>
      <c r="I88" s="490">
        <v>83910</v>
      </c>
    </row>
    <row r="89" spans="1:9" ht="15">
      <c r="A89" s="423" t="s">
        <v>1150</v>
      </c>
      <c r="B89" s="501"/>
      <c r="C89" s="285">
        <f>C26</f>
        <v>371379</v>
      </c>
      <c r="D89" s="285">
        <f>D26</f>
        <v>345674</v>
      </c>
      <c r="E89" s="285">
        <f>E26</f>
        <v>335725</v>
      </c>
      <c r="F89" s="285">
        <f>F26</f>
        <v>282221</v>
      </c>
      <c r="G89" s="285">
        <f>G26</f>
        <v>348036</v>
      </c>
      <c r="H89" s="479">
        <f>SUM(H26)</f>
        <v>269973.52</v>
      </c>
      <c r="I89" s="496">
        <f t="shared" ref="I89" si="4">I26</f>
        <v>256966</v>
      </c>
    </row>
    <row r="90" spans="1:9" ht="15">
      <c r="A90" s="423" t="s">
        <v>85</v>
      </c>
      <c r="B90" s="501"/>
      <c r="C90" s="285">
        <f>C64</f>
        <v>32630</v>
      </c>
      <c r="D90" s="285">
        <f>D64</f>
        <v>25593</v>
      </c>
      <c r="E90" s="285">
        <f>E64</f>
        <v>45592.69</v>
      </c>
      <c r="F90" s="285">
        <f>F64</f>
        <v>40192.69</v>
      </c>
      <c r="G90" s="285">
        <f>G64</f>
        <v>123670</v>
      </c>
      <c r="H90" s="479">
        <f>SUM(H64)</f>
        <v>86350</v>
      </c>
      <c r="I90" s="496"/>
    </row>
    <row r="91" spans="1:9" ht="15">
      <c r="A91" s="423" t="s">
        <v>87</v>
      </c>
      <c r="B91" s="501"/>
      <c r="C91" s="285">
        <f>C43</f>
        <v>0</v>
      </c>
      <c r="D91" s="285">
        <f>D43</f>
        <v>0</v>
      </c>
      <c r="E91" s="285">
        <f>E43</f>
        <v>0</v>
      </c>
      <c r="F91" s="285">
        <f>F43</f>
        <v>0</v>
      </c>
      <c r="G91" s="285">
        <f>G43</f>
        <v>88853</v>
      </c>
      <c r="H91" s="479">
        <f>SUM(H43)</f>
        <v>78991</v>
      </c>
      <c r="I91" s="496">
        <f>SUM(I43)</f>
        <v>77800.52</v>
      </c>
    </row>
    <row r="92" spans="1:9" ht="15">
      <c r="A92" s="423" t="s">
        <v>1151</v>
      </c>
      <c r="B92" s="501"/>
      <c r="C92" s="285">
        <f>C88</f>
        <v>112477</v>
      </c>
      <c r="D92" s="285">
        <f>D88</f>
        <v>105875</v>
      </c>
      <c r="E92" s="285">
        <f>E88</f>
        <v>108506</v>
      </c>
      <c r="F92" s="285">
        <f>F88</f>
        <v>108506</v>
      </c>
      <c r="G92" s="285">
        <f>G88</f>
        <v>95398</v>
      </c>
      <c r="H92" s="479">
        <f>SUM(H88)</f>
        <v>89887.83</v>
      </c>
      <c r="I92" s="496">
        <f>SUM(I88)</f>
        <v>83910</v>
      </c>
    </row>
    <row r="93" spans="1:9" ht="15.95" thickBot="1">
      <c r="A93" s="497" t="s">
        <v>1152</v>
      </c>
      <c r="B93" s="498"/>
      <c r="C93" s="499">
        <f>SUM(C89:C92)</f>
        <v>516486</v>
      </c>
      <c r="D93" s="499">
        <f>SUM(D89:D92)</f>
        <v>477142</v>
      </c>
      <c r="E93" s="499">
        <f>SUM(E89:E92)</f>
        <v>489823.69</v>
      </c>
      <c r="F93" s="499">
        <f>SUM(F89:F92)</f>
        <v>430919.69</v>
      </c>
      <c r="G93" s="499">
        <f>SUM(G89:G92)</f>
        <v>655957</v>
      </c>
      <c r="H93" s="438">
        <f t="shared" ref="H93:I93" si="5">SUM(H89:H92)</f>
        <v>525202.35</v>
      </c>
      <c r="I93" s="500">
        <f t="shared" si="5"/>
        <v>418676.52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1"/>
  <sheetViews>
    <sheetView zoomScale="90" zoomScaleNormal="90" workbookViewId="0">
      <selection activeCell="C45" sqref="C45"/>
    </sheetView>
  </sheetViews>
  <sheetFormatPr defaultColWidth="8.85546875" defaultRowHeight="15" customHeight="1"/>
  <cols>
    <col min="1" max="7" width="23.85546875" style="1" customWidth="1"/>
    <col min="8" max="8" width="23.85546875" style="108" customWidth="1"/>
    <col min="9" max="10" width="23.85546875" style="1" customWidth="1"/>
    <col min="11" max="11" width="8.85546875" style="1"/>
    <col min="12" max="12" width="10.140625" style="1" customWidth="1"/>
    <col min="13" max="13" width="12.7109375" style="1" customWidth="1"/>
    <col min="14" max="16384" width="8.85546875" style="1"/>
  </cols>
  <sheetData>
    <row r="1" spans="1:13" ht="21">
      <c r="A1" s="789" t="s">
        <v>1153</v>
      </c>
      <c r="B1" s="790"/>
      <c r="C1" s="790"/>
      <c r="D1" s="790"/>
      <c r="E1" s="790"/>
      <c r="F1" s="790"/>
      <c r="G1" s="790"/>
      <c r="H1" s="790"/>
      <c r="I1" s="790"/>
      <c r="J1" s="791"/>
    </row>
    <row r="2" spans="1:13" ht="15.95" thickBot="1">
      <c r="A2" s="195"/>
      <c r="J2" s="506"/>
    </row>
    <row r="3" spans="1:13" ht="15.95">
      <c r="A3" s="536" t="s">
        <v>66</v>
      </c>
      <c r="B3" s="615" t="s">
        <v>151</v>
      </c>
      <c r="C3" s="697" t="s">
        <v>4</v>
      </c>
      <c r="D3" s="697" t="s">
        <v>5</v>
      </c>
      <c r="E3" s="719" t="s">
        <v>6</v>
      </c>
      <c r="F3" s="615" t="s">
        <v>152</v>
      </c>
      <c r="G3" s="615" t="s">
        <v>8</v>
      </c>
      <c r="H3" s="537" t="s">
        <v>153</v>
      </c>
      <c r="I3" s="538" t="s">
        <v>1154</v>
      </c>
      <c r="J3" s="539" t="s">
        <v>1155</v>
      </c>
    </row>
    <row r="4" spans="1:13" ht="15.95">
      <c r="A4" s="519" t="s">
        <v>1156</v>
      </c>
      <c r="B4" s="520"/>
      <c r="C4" s="616"/>
      <c r="D4" s="616"/>
      <c r="E4" s="616"/>
      <c r="F4" s="520"/>
      <c r="G4" s="616"/>
      <c r="H4" s="520"/>
      <c r="I4" s="521"/>
      <c r="J4" s="522"/>
    </row>
    <row r="5" spans="1:13" ht="15.95">
      <c r="A5" s="510" t="s">
        <v>1157</v>
      </c>
      <c r="B5" s="511">
        <v>72501</v>
      </c>
      <c r="C5" s="511">
        <v>70877</v>
      </c>
      <c r="D5" s="511">
        <v>133817</v>
      </c>
      <c r="E5" s="511">
        <v>124017</v>
      </c>
      <c r="F5" s="511">
        <v>133883</v>
      </c>
      <c r="G5" s="511">
        <v>142761</v>
      </c>
      <c r="H5" s="511">
        <v>158571</v>
      </c>
      <c r="I5" s="220">
        <v>135912</v>
      </c>
      <c r="J5" s="512">
        <v>15798.750000000007</v>
      </c>
      <c r="M5" s="108"/>
    </row>
    <row r="6" spans="1:13" ht="15.95" hidden="1">
      <c r="A6" s="510" t="s">
        <v>1158</v>
      </c>
      <c r="B6" s="511"/>
      <c r="C6" s="511">
        <v>0</v>
      </c>
      <c r="D6" s="511">
        <v>0</v>
      </c>
      <c r="E6" s="511"/>
      <c r="F6" s="511">
        <v>0</v>
      </c>
      <c r="G6" s="511">
        <v>0</v>
      </c>
      <c r="H6" s="511"/>
      <c r="I6" s="220">
        <v>-1161</v>
      </c>
      <c r="J6" s="512"/>
    </row>
    <row r="7" spans="1:13" ht="15.95">
      <c r="A7" s="510" t="s">
        <v>1159</v>
      </c>
      <c r="B7" s="511">
        <v>0</v>
      </c>
      <c r="C7" s="511">
        <v>0</v>
      </c>
      <c r="D7" s="511">
        <v>0</v>
      </c>
      <c r="E7" s="511">
        <v>-20512</v>
      </c>
      <c r="F7" s="511">
        <v>0</v>
      </c>
      <c r="G7" s="220">
        <v>-40662</v>
      </c>
      <c r="H7" s="220">
        <v>-78152</v>
      </c>
      <c r="I7" s="220">
        <v>-87806</v>
      </c>
      <c r="J7" s="512">
        <v>-20432.25</v>
      </c>
    </row>
    <row r="8" spans="1:13" ht="15.95" hidden="1">
      <c r="A8" s="510" t="s">
        <v>1160</v>
      </c>
      <c r="B8" s="511"/>
      <c r="C8" s="511">
        <v>0</v>
      </c>
      <c r="D8" s="511">
        <v>0</v>
      </c>
      <c r="E8" s="511"/>
      <c r="F8" s="511">
        <v>0</v>
      </c>
      <c r="G8" s="511"/>
      <c r="H8" s="511"/>
      <c r="I8" s="220"/>
      <c r="J8" s="512"/>
    </row>
    <row r="9" spans="1:13" ht="15.95">
      <c r="A9" s="510" t="s">
        <v>1161</v>
      </c>
      <c r="B9" s="511">
        <v>215250</v>
      </c>
      <c r="C9" s="511">
        <v>172285</v>
      </c>
      <c r="D9" s="511">
        <v>159049</v>
      </c>
      <c r="E9" s="511">
        <v>158455</v>
      </c>
      <c r="F9" s="511">
        <v>108740</v>
      </c>
      <c r="G9" s="511">
        <v>66853</v>
      </c>
      <c r="H9" s="511">
        <v>65331</v>
      </c>
      <c r="I9" s="220">
        <v>85847</v>
      </c>
      <c r="J9" s="512">
        <v>98833.849999999991</v>
      </c>
    </row>
    <row r="10" spans="1:13" ht="15.95">
      <c r="A10" s="510" t="s">
        <v>1162</v>
      </c>
      <c r="B10" s="511">
        <v>0</v>
      </c>
      <c r="C10" s="511">
        <v>-22468</v>
      </c>
      <c r="D10" s="511">
        <v>35606</v>
      </c>
      <c r="E10" s="511">
        <v>-26110</v>
      </c>
      <c r="F10" s="511">
        <v>55606</v>
      </c>
      <c r="G10" s="511">
        <v>-5033</v>
      </c>
      <c r="H10" s="511">
        <v>-25907</v>
      </c>
      <c r="I10" s="220">
        <v>-5369</v>
      </c>
      <c r="J10" s="512">
        <v>12505.3</v>
      </c>
    </row>
    <row r="11" spans="1:13" ht="15.95" hidden="1">
      <c r="A11" s="510" t="s">
        <v>1163</v>
      </c>
      <c r="B11" s="511"/>
      <c r="C11" s="511">
        <v>0</v>
      </c>
      <c r="D11" s="511">
        <v>0</v>
      </c>
      <c r="E11" s="511">
        <v>-17427</v>
      </c>
      <c r="F11" s="511">
        <v>0</v>
      </c>
      <c r="G11" s="511">
        <v>-16265</v>
      </c>
      <c r="H11" s="511">
        <v>-16265</v>
      </c>
      <c r="I11" s="220">
        <v>-15513</v>
      </c>
      <c r="J11" s="512">
        <v>21966.160000000003</v>
      </c>
    </row>
    <row r="12" spans="1:13" ht="15.95">
      <c r="A12" s="510" t="s">
        <v>1164</v>
      </c>
      <c r="B12" s="511">
        <v>975466</v>
      </c>
      <c r="C12" s="511">
        <v>897080</v>
      </c>
      <c r="D12" s="511">
        <v>878285</v>
      </c>
      <c r="E12" s="511">
        <v>787645</v>
      </c>
      <c r="F12" s="511">
        <v>826340</v>
      </c>
      <c r="G12" s="511">
        <v>810071</v>
      </c>
      <c r="H12" s="511">
        <v>709548</v>
      </c>
      <c r="I12" s="220">
        <v>725456</v>
      </c>
      <c r="J12" s="512">
        <v>269429.83791399997</v>
      </c>
      <c r="L12" s="108"/>
      <c r="M12" s="108"/>
    </row>
    <row r="13" spans="1:13" ht="15.95" hidden="1">
      <c r="A13" s="510" t="s">
        <v>1165</v>
      </c>
      <c r="B13" s="511"/>
      <c r="C13" s="511"/>
      <c r="D13" s="511">
        <v>0</v>
      </c>
      <c r="E13" s="511"/>
      <c r="F13" s="511">
        <v>0</v>
      </c>
      <c r="G13" s="511">
        <v>0</v>
      </c>
      <c r="H13" s="511">
        <v>0</v>
      </c>
      <c r="I13" s="220">
        <v>-1333</v>
      </c>
      <c r="J13" s="512"/>
    </row>
    <row r="14" spans="1:13" ht="15.95" hidden="1">
      <c r="A14" s="510" t="s">
        <v>1166</v>
      </c>
      <c r="B14" s="511"/>
      <c r="C14" s="511">
        <v>0</v>
      </c>
      <c r="D14" s="511">
        <v>0</v>
      </c>
      <c r="E14" s="511"/>
      <c r="F14" s="511">
        <v>0</v>
      </c>
      <c r="G14" s="511">
        <v>0</v>
      </c>
      <c r="H14" s="511">
        <v>0</v>
      </c>
      <c r="I14" s="220">
        <v>-1404</v>
      </c>
      <c r="J14" s="512"/>
    </row>
    <row r="15" spans="1:13" ht="15.95">
      <c r="A15" s="510" t="s">
        <v>1167</v>
      </c>
      <c r="B15" s="511">
        <v>161604</v>
      </c>
      <c r="C15" s="511">
        <v>167903</v>
      </c>
      <c r="D15" s="511">
        <v>174854</v>
      </c>
      <c r="E15" s="511">
        <v>186822</v>
      </c>
      <c r="F15" s="511">
        <v>179908</v>
      </c>
      <c r="G15" s="511">
        <v>168157</v>
      </c>
      <c r="H15" s="511">
        <v>162357</v>
      </c>
      <c r="I15" s="220">
        <v>190618</v>
      </c>
      <c r="J15" s="512">
        <v>3037.4500000000044</v>
      </c>
      <c r="L15" s="108"/>
      <c r="M15" s="108"/>
    </row>
    <row r="16" spans="1:13" ht="15.95">
      <c r="A16" s="510" t="s">
        <v>1168</v>
      </c>
      <c r="B16" s="511">
        <v>46176</v>
      </c>
      <c r="C16" s="511">
        <v>16963</v>
      </c>
      <c r="D16" s="511">
        <v>135837</v>
      </c>
      <c r="E16" s="511">
        <v>101227</v>
      </c>
      <c r="F16" s="511">
        <v>138144</v>
      </c>
      <c r="G16" s="511">
        <v>140965</v>
      </c>
      <c r="H16" s="511">
        <v>102418</v>
      </c>
      <c r="I16" s="220">
        <v>120338</v>
      </c>
      <c r="J16" s="512">
        <v>7447.9000000000015</v>
      </c>
      <c r="L16" s="108"/>
      <c r="M16" s="108"/>
    </row>
    <row r="17" spans="1:13" ht="15.95">
      <c r="A17" s="510" t="s">
        <v>1169</v>
      </c>
      <c r="B17" s="511">
        <v>-440597</v>
      </c>
      <c r="C17" s="511">
        <v>-395911</v>
      </c>
      <c r="D17" s="511">
        <v>-446965</v>
      </c>
      <c r="E17" s="511">
        <v>-400662</v>
      </c>
      <c r="F17" s="511">
        <v>-447915</v>
      </c>
      <c r="G17" s="511">
        <v>-386593</v>
      </c>
      <c r="H17" s="511">
        <v>-358549</v>
      </c>
      <c r="I17" s="220">
        <v>-338024</v>
      </c>
      <c r="J17" s="512">
        <v>-261593.8</v>
      </c>
      <c r="M17" s="108"/>
    </row>
    <row r="18" spans="1:13" ht="15.95">
      <c r="A18" s="510" t="s">
        <v>1170</v>
      </c>
      <c r="B18" s="511">
        <v>-250027</v>
      </c>
      <c r="C18" s="511">
        <v>-256138</v>
      </c>
      <c r="D18" s="511">
        <v>-242858</v>
      </c>
      <c r="E18" s="511">
        <v>-253265</v>
      </c>
      <c r="F18" s="511">
        <v>-236286</v>
      </c>
      <c r="G18" s="511">
        <v>-235793</v>
      </c>
      <c r="H18" s="511">
        <v>-230870</v>
      </c>
      <c r="I18" s="220">
        <v>-186756</v>
      </c>
      <c r="J18" s="512">
        <v>-183996.75</v>
      </c>
    </row>
    <row r="19" spans="1:13" ht="15.95" hidden="1">
      <c r="A19" s="510" t="s">
        <v>1171</v>
      </c>
      <c r="B19" s="511"/>
      <c r="C19" s="511">
        <v>0</v>
      </c>
      <c r="D19" s="511">
        <v>0</v>
      </c>
      <c r="E19" s="511"/>
      <c r="F19" s="511">
        <v>0</v>
      </c>
      <c r="G19" s="511">
        <v>0</v>
      </c>
      <c r="H19" s="511">
        <v>0</v>
      </c>
      <c r="I19" s="220"/>
      <c r="J19" s="513"/>
    </row>
    <row r="20" spans="1:13" ht="15.95">
      <c r="A20" s="510" t="s">
        <v>1172</v>
      </c>
      <c r="B20" s="511">
        <v>-59087</v>
      </c>
      <c r="C20" s="511">
        <v>-67365</v>
      </c>
      <c r="D20" s="511">
        <v>-73221</v>
      </c>
      <c r="E20" s="511">
        <v>-35173</v>
      </c>
      <c r="F20" s="511">
        <v>-73927</v>
      </c>
      <c r="G20" s="511">
        <v>5770</v>
      </c>
      <c r="H20" s="511">
        <v>-68950</v>
      </c>
      <c r="I20" s="220">
        <v>45678</v>
      </c>
      <c r="J20" s="512">
        <v>-76062.84</v>
      </c>
    </row>
    <row r="21" spans="1:13" ht="15.95">
      <c r="A21" s="510" t="s">
        <v>1173</v>
      </c>
      <c r="B21" s="511">
        <v>-180</v>
      </c>
      <c r="C21" s="511">
        <v>-930</v>
      </c>
      <c r="D21" s="511">
        <v>-930</v>
      </c>
      <c r="E21" s="511">
        <v>-62138</v>
      </c>
      <c r="F21" s="511">
        <v>-930</v>
      </c>
      <c r="G21" s="511">
        <v>-73448</v>
      </c>
      <c r="H21" s="511">
        <v>-63130</v>
      </c>
      <c r="I21" s="220">
        <v>-224751</v>
      </c>
      <c r="J21" s="512">
        <v>-132463.79999999996</v>
      </c>
    </row>
    <row r="22" spans="1:13" ht="17.100000000000001" thickBot="1">
      <c r="A22" s="734" t="s">
        <v>1174</v>
      </c>
      <c r="B22" s="735">
        <f>SUM(B5:B21)</f>
        <v>721106</v>
      </c>
      <c r="C22" s="735">
        <f>SUM(C5:C21)</f>
        <v>582296</v>
      </c>
      <c r="D22" s="735">
        <f>SUM(D5:D21)</f>
        <v>753474</v>
      </c>
      <c r="E22" s="735">
        <f t="shared" ref="E22:J22" si="0">SUM(E5:E21)</f>
        <v>542879</v>
      </c>
      <c r="F22" s="735">
        <f t="shared" si="0"/>
        <v>683563</v>
      </c>
      <c r="G22" s="735">
        <f t="shared" si="0"/>
        <v>576783</v>
      </c>
      <c r="H22" s="735">
        <f t="shared" si="0"/>
        <v>356402</v>
      </c>
      <c r="I22" s="736">
        <f t="shared" si="0"/>
        <v>441732</v>
      </c>
      <c r="J22" s="737">
        <f t="shared" si="0"/>
        <v>-245530.19208599994</v>
      </c>
    </row>
    <row r="23" spans="1:13" ht="15.95" thickBot="1">
      <c r="A23" s="507"/>
      <c r="B23" s="508"/>
      <c r="C23" s="617"/>
      <c r="D23" s="617"/>
      <c r="E23" s="508"/>
      <c r="F23" s="508"/>
      <c r="G23" s="617"/>
      <c r="H23" s="508"/>
      <c r="I23" s="509"/>
      <c r="J23" s="514"/>
    </row>
    <row r="24" spans="1:13" ht="15.95">
      <c r="A24" s="519" t="s">
        <v>1175</v>
      </c>
      <c r="B24" s="520">
        <v>689272</v>
      </c>
      <c r="C24" s="520">
        <v>712034</v>
      </c>
      <c r="D24" s="520">
        <v>528585</v>
      </c>
      <c r="E24" s="520">
        <v>599869</v>
      </c>
      <c r="F24" s="520">
        <v>451214</v>
      </c>
      <c r="G24" s="590">
        <v>324839</v>
      </c>
      <c r="H24" s="590">
        <v>200680</v>
      </c>
      <c r="I24" s="534">
        <v>734170</v>
      </c>
      <c r="J24" s="535">
        <v>213490.03999999998</v>
      </c>
    </row>
    <row r="25" spans="1:13" ht="17.100000000000001" thickBot="1">
      <c r="A25" s="734" t="s">
        <v>955</v>
      </c>
      <c r="B25" s="735">
        <f t="shared" ref="B25:I25" si="1">B24</f>
        <v>689272</v>
      </c>
      <c r="C25" s="735">
        <f t="shared" si="1"/>
        <v>712034</v>
      </c>
      <c r="D25" s="735">
        <f t="shared" si="1"/>
        <v>528585</v>
      </c>
      <c r="E25" s="735">
        <f t="shared" si="1"/>
        <v>599869</v>
      </c>
      <c r="F25" s="735">
        <f t="shared" si="1"/>
        <v>451214</v>
      </c>
      <c r="G25" s="735">
        <f t="shared" si="1"/>
        <v>324839</v>
      </c>
      <c r="H25" s="735">
        <f t="shared" si="1"/>
        <v>200680</v>
      </c>
      <c r="I25" s="736">
        <f t="shared" si="1"/>
        <v>734170</v>
      </c>
      <c r="J25" s="738">
        <v>213490.03999999998</v>
      </c>
    </row>
    <row r="26" spans="1:13">
      <c r="A26" s="507"/>
      <c r="B26" s="508"/>
      <c r="C26" s="617"/>
      <c r="D26" s="617"/>
      <c r="E26" s="617"/>
      <c r="F26" s="508"/>
      <c r="G26" s="617"/>
      <c r="H26" s="508"/>
      <c r="I26" s="509"/>
      <c r="J26" s="516"/>
    </row>
    <row r="27" spans="1:13" ht="32.1">
      <c r="A27" s="739" t="s">
        <v>1176</v>
      </c>
      <c r="B27" s="740">
        <f t="shared" ref="B27:H27" si="2">SUM(B5,B7,B9,B10,B12,B15,B16,B24,B31,+B11)</f>
        <v>2697777</v>
      </c>
      <c r="C27" s="740">
        <f t="shared" si="2"/>
        <v>2498376</v>
      </c>
      <c r="D27" s="740">
        <f t="shared" si="2"/>
        <v>2483368</v>
      </c>
      <c r="E27" s="740">
        <f t="shared" si="2"/>
        <v>2281737</v>
      </c>
      <c r="F27" s="740">
        <f t="shared" si="2"/>
        <v>2423097</v>
      </c>
      <c r="G27" s="740">
        <f t="shared" si="2"/>
        <v>1997706</v>
      </c>
      <c r="H27" s="740">
        <f t="shared" si="2"/>
        <v>1654343</v>
      </c>
      <c r="I27" s="741">
        <f>SUM(I5,I7,I9,I10,I11,I12,I15,I16,I24,I31)+I14+I13+I6</f>
        <v>2238007</v>
      </c>
      <c r="J27" s="742">
        <f>SUM(J5,J7,J9,J10,J11,J12,J15,J16,J24,J31)</f>
        <v>1026305.037914</v>
      </c>
    </row>
    <row r="28" spans="1:13" ht="17.100000000000001" thickBot="1">
      <c r="A28" s="734" t="s">
        <v>1177</v>
      </c>
      <c r="B28" s="735">
        <f t="shared" ref="B28:H28" si="3">B22+B25</f>
        <v>1410378</v>
      </c>
      <c r="C28" s="735">
        <f t="shared" si="3"/>
        <v>1294330</v>
      </c>
      <c r="D28" s="735">
        <f t="shared" si="3"/>
        <v>1282059</v>
      </c>
      <c r="E28" s="735">
        <f t="shared" si="3"/>
        <v>1142748</v>
      </c>
      <c r="F28" s="735">
        <f t="shared" si="3"/>
        <v>1134777</v>
      </c>
      <c r="G28" s="735">
        <f t="shared" si="3"/>
        <v>901622</v>
      </c>
      <c r="H28" s="735">
        <f t="shared" si="3"/>
        <v>557082</v>
      </c>
      <c r="I28" s="735">
        <f t="shared" ref="I28" si="4">I22+I25</f>
        <v>1175902</v>
      </c>
      <c r="J28" s="743">
        <f>J22+J25</f>
        <v>-32040.152085999958</v>
      </c>
    </row>
    <row r="29" spans="1:13" ht="15.95" thickBot="1">
      <c r="A29" s="507"/>
      <c r="B29" s="508"/>
      <c r="C29" s="617"/>
      <c r="D29" s="617"/>
      <c r="E29" s="617"/>
      <c r="F29" s="508"/>
      <c r="G29" s="617"/>
      <c r="H29" s="508"/>
      <c r="I29" s="509"/>
      <c r="J29" s="517"/>
    </row>
    <row r="30" spans="1:13" ht="15.95">
      <c r="A30" s="523" t="s">
        <v>1178</v>
      </c>
      <c r="B30" s="524"/>
      <c r="C30" s="618"/>
      <c r="D30" s="618"/>
      <c r="E30" s="618"/>
      <c r="F30" s="524"/>
      <c r="G30" s="618"/>
      <c r="H30" s="524"/>
      <c r="I30" s="525"/>
      <c r="J30" s="526"/>
    </row>
    <row r="31" spans="1:13" ht="15.95">
      <c r="A31" s="510" t="s">
        <v>1179</v>
      </c>
      <c r="B31" s="511">
        <f>512508+25000</f>
        <v>537508</v>
      </c>
      <c r="C31" s="511">
        <v>483702</v>
      </c>
      <c r="D31" s="511">
        <v>437335</v>
      </c>
      <c r="E31" s="511">
        <v>387751</v>
      </c>
      <c r="F31" s="511">
        <v>529262</v>
      </c>
      <c r="G31" s="511">
        <v>406020</v>
      </c>
      <c r="H31" s="511">
        <v>375762</v>
      </c>
      <c r="I31" s="220">
        <v>358252</v>
      </c>
      <c r="J31" s="515">
        <v>404228</v>
      </c>
    </row>
    <row r="32" spans="1:13">
      <c r="A32" s="510"/>
      <c r="B32" s="511"/>
      <c r="C32" s="511"/>
      <c r="D32" s="511"/>
      <c r="E32" s="511"/>
      <c r="F32" s="511"/>
      <c r="G32" s="511"/>
      <c r="H32" s="511"/>
      <c r="I32" s="220"/>
      <c r="J32" s="518"/>
    </row>
    <row r="33" spans="1:10" ht="17.100000000000001" thickBot="1">
      <c r="A33" s="734" t="s">
        <v>955</v>
      </c>
      <c r="B33" s="735">
        <f t="shared" ref="B33:C33" si="5">B31</f>
        <v>537508</v>
      </c>
      <c r="C33" s="735">
        <f t="shared" si="5"/>
        <v>483702</v>
      </c>
      <c r="D33" s="735">
        <f t="shared" ref="D33:I33" si="6">D31</f>
        <v>437335</v>
      </c>
      <c r="E33" s="735">
        <f t="shared" si="6"/>
        <v>387751</v>
      </c>
      <c r="F33" s="735">
        <f t="shared" si="6"/>
        <v>529262</v>
      </c>
      <c r="G33" s="735">
        <f t="shared" si="6"/>
        <v>406020</v>
      </c>
      <c r="H33" s="735">
        <f t="shared" si="6"/>
        <v>375762</v>
      </c>
      <c r="I33" s="736">
        <f t="shared" si="6"/>
        <v>358252</v>
      </c>
      <c r="J33" s="738">
        <v>404228</v>
      </c>
    </row>
    <row r="34" spans="1:10" ht="15.95" thickBot="1">
      <c r="A34" s="507"/>
      <c r="B34" s="508"/>
      <c r="C34" s="617"/>
      <c r="D34" s="617"/>
      <c r="E34" s="617"/>
      <c r="F34" s="508"/>
      <c r="G34" s="617"/>
      <c r="H34" s="508"/>
      <c r="I34" s="509"/>
      <c r="J34" s="516"/>
    </row>
    <row r="35" spans="1:10" ht="32.1">
      <c r="A35" s="744" t="s">
        <v>1180</v>
      </c>
      <c r="B35" s="745">
        <f>B28+B33</f>
        <v>1947886</v>
      </c>
      <c r="C35" s="745">
        <f>C28+C33</f>
        <v>1778032</v>
      </c>
      <c r="D35" s="745">
        <f>D28+D33</f>
        <v>1719394</v>
      </c>
      <c r="E35" s="745">
        <f t="shared" ref="E35:G35" si="7">E28+E33</f>
        <v>1530499</v>
      </c>
      <c r="F35" s="745">
        <f t="shared" si="7"/>
        <v>1664039</v>
      </c>
      <c r="G35" s="745">
        <f t="shared" si="7"/>
        <v>1307642</v>
      </c>
      <c r="H35" s="745">
        <f>H28+H33</f>
        <v>932844</v>
      </c>
      <c r="I35" s="746">
        <f>SUM(I33,I28,)</f>
        <v>1534154</v>
      </c>
      <c r="J35" s="747">
        <v>372187.8479140001</v>
      </c>
    </row>
    <row r="36" spans="1:10" ht="15.95" thickBot="1">
      <c r="A36" s="507"/>
      <c r="B36" s="508"/>
      <c r="C36" s="617"/>
      <c r="D36" s="617"/>
      <c r="E36" s="617"/>
      <c r="F36" s="508"/>
      <c r="G36" s="617"/>
      <c r="H36" s="508"/>
      <c r="I36" s="509"/>
      <c r="J36" s="517"/>
    </row>
    <row r="37" spans="1:10" ht="15.95">
      <c r="A37" s="527" t="s">
        <v>1181</v>
      </c>
      <c r="B37" s="528"/>
      <c r="C37" s="619"/>
      <c r="D37" s="619"/>
      <c r="E37" s="619"/>
      <c r="F37" s="528"/>
      <c r="G37" s="619"/>
      <c r="H37" s="528"/>
      <c r="I37" s="529"/>
      <c r="J37" s="530"/>
    </row>
    <row r="38" spans="1:10" ht="15.95">
      <c r="A38" s="510" t="s">
        <v>1182</v>
      </c>
      <c r="B38" s="511">
        <v>-1675869</v>
      </c>
      <c r="C38" s="511">
        <v>-1624924</v>
      </c>
      <c r="D38" s="511">
        <v>-1646454</v>
      </c>
      <c r="E38" s="511">
        <v>-1491454</v>
      </c>
      <c r="F38" s="511">
        <v>-1635454</v>
      </c>
      <c r="G38" s="511">
        <v>-1480086</v>
      </c>
      <c r="H38" s="511">
        <v>-1419583</v>
      </c>
      <c r="I38" s="220">
        <v>-1604450</v>
      </c>
      <c r="J38" s="515">
        <f>-568128.313050271*2</f>
        <v>-1136256.626100542</v>
      </c>
    </row>
    <row r="39" spans="1:10" ht="15.95">
      <c r="A39" s="510" t="s">
        <v>1183</v>
      </c>
      <c r="B39" s="511">
        <v>-325520</v>
      </c>
      <c r="C39" s="511">
        <v>-313742</v>
      </c>
      <c r="D39" s="511">
        <v>-363944</v>
      </c>
      <c r="E39" s="511">
        <v>-293001</v>
      </c>
      <c r="F39" s="511">
        <v>-411965</v>
      </c>
      <c r="G39" s="511">
        <v>-300151</v>
      </c>
      <c r="H39" s="511">
        <v>-300979</v>
      </c>
      <c r="I39" s="220">
        <v>-217832</v>
      </c>
      <c r="J39" s="515">
        <f>-168642.100826667*2</f>
        <v>-337284.20165333402</v>
      </c>
    </row>
    <row r="40" spans="1:10" ht="15.95">
      <c r="A40" s="510" t="s">
        <v>1184</v>
      </c>
      <c r="B40" s="511">
        <v>-528282</v>
      </c>
      <c r="C40" s="511">
        <v>-508333</v>
      </c>
      <c r="D40" s="511">
        <v>-532605</v>
      </c>
      <c r="E40" s="511">
        <v>-454415</v>
      </c>
      <c r="F40" s="511">
        <v>-532605</v>
      </c>
      <c r="G40" s="511">
        <v>-438269</v>
      </c>
      <c r="H40" s="511">
        <v>-390991</v>
      </c>
      <c r="I40" s="220">
        <v>-445619</v>
      </c>
      <c r="J40" s="515">
        <f>-204347.17435*2</f>
        <v>-408694.34869999997</v>
      </c>
    </row>
    <row r="41" spans="1:10" ht="32.1">
      <c r="A41" s="510" t="s">
        <v>1185</v>
      </c>
      <c r="B41" s="511">
        <f t="shared" ref="B41:J41" si="8">SUM(B38:B40)</f>
        <v>-2529671</v>
      </c>
      <c r="C41" s="511">
        <f t="shared" si="8"/>
        <v>-2446999</v>
      </c>
      <c r="D41" s="511">
        <f t="shared" si="8"/>
        <v>-2543003</v>
      </c>
      <c r="E41" s="511">
        <f t="shared" si="8"/>
        <v>-2238870</v>
      </c>
      <c r="F41" s="511">
        <f t="shared" si="8"/>
        <v>-2580024</v>
      </c>
      <c r="G41" s="511">
        <f t="shared" si="8"/>
        <v>-2218506</v>
      </c>
      <c r="H41" s="511">
        <f t="shared" si="8"/>
        <v>-2111553</v>
      </c>
      <c r="I41" s="220">
        <f t="shared" si="8"/>
        <v>-2267901</v>
      </c>
      <c r="J41" s="540">
        <f t="shared" si="8"/>
        <v>-1882235.1764538761</v>
      </c>
    </row>
    <row r="42" spans="1:10" ht="32.1">
      <c r="A42" s="531" t="s">
        <v>1186</v>
      </c>
      <c r="B42" s="532">
        <f t="shared" ref="B42:J42" si="9">B41/2</f>
        <v>-1264835.5</v>
      </c>
      <c r="C42" s="532">
        <f t="shared" si="9"/>
        <v>-1223499.5</v>
      </c>
      <c r="D42" s="532">
        <f t="shared" si="9"/>
        <v>-1271501.5</v>
      </c>
      <c r="E42" s="532">
        <f t="shared" si="9"/>
        <v>-1119435</v>
      </c>
      <c r="F42" s="532">
        <f t="shared" si="9"/>
        <v>-1290012</v>
      </c>
      <c r="G42" s="532">
        <f t="shared" si="9"/>
        <v>-1109253</v>
      </c>
      <c r="H42" s="532">
        <f t="shared" si="9"/>
        <v>-1055776.5</v>
      </c>
      <c r="I42" s="533">
        <f t="shared" si="9"/>
        <v>-1133950.5</v>
      </c>
      <c r="J42" s="541">
        <f t="shared" si="9"/>
        <v>-941117.58822693804</v>
      </c>
    </row>
    <row r="43" spans="1:10" ht="32.1">
      <c r="A43" s="734" t="s">
        <v>1187</v>
      </c>
      <c r="B43" s="735">
        <f t="shared" ref="B43:J43" si="10">B35+B42</f>
        <v>683050.5</v>
      </c>
      <c r="C43" s="735">
        <f t="shared" si="10"/>
        <v>554532.5</v>
      </c>
      <c r="D43" s="735">
        <f t="shared" si="10"/>
        <v>447892.5</v>
      </c>
      <c r="E43" s="735">
        <f t="shared" si="10"/>
        <v>411064</v>
      </c>
      <c r="F43" s="735">
        <f t="shared" si="10"/>
        <v>374027</v>
      </c>
      <c r="G43" s="735">
        <f t="shared" si="10"/>
        <v>198389</v>
      </c>
      <c r="H43" s="735">
        <f t="shared" si="10"/>
        <v>-122932.5</v>
      </c>
      <c r="I43" s="736">
        <f t="shared" si="10"/>
        <v>400203.5</v>
      </c>
      <c r="J43" s="748">
        <f t="shared" si="10"/>
        <v>-568929.74031293788</v>
      </c>
    </row>
    <row r="50" ht="28.5" customHeight="1"/>
    <row r="51" ht="30" customHeight="1"/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FD53-CA64-4285-8779-34E93FE108C3}">
  <dimension ref="A1:D39"/>
  <sheetViews>
    <sheetView workbookViewId="0">
      <selection activeCell="A10" sqref="A10"/>
    </sheetView>
  </sheetViews>
  <sheetFormatPr defaultColWidth="8.85546875" defaultRowHeight="12.95"/>
  <cols>
    <col min="1" max="1" width="54.140625" customWidth="1"/>
    <col min="2" max="3" width="30.140625" style="148" customWidth="1"/>
    <col min="4" max="4" width="36.42578125" customWidth="1"/>
  </cols>
  <sheetData>
    <row r="1" spans="1:4">
      <c r="A1" t="s">
        <v>1188</v>
      </c>
      <c r="B1" s="148" t="s">
        <v>1189</v>
      </c>
    </row>
    <row r="2" spans="1:4">
      <c r="A2" t="s">
        <v>1190</v>
      </c>
      <c r="B2" s="148">
        <v>22000</v>
      </c>
      <c r="C2" s="148" t="s">
        <v>1191</v>
      </c>
      <c r="D2" t="s">
        <v>1192</v>
      </c>
    </row>
    <row r="3" spans="1:4">
      <c r="A3" t="s">
        <v>1193</v>
      </c>
      <c r="B3" s="148">
        <v>75000</v>
      </c>
      <c r="C3" s="148" t="s">
        <v>1191</v>
      </c>
      <c r="D3" t="s">
        <v>1194</v>
      </c>
    </row>
    <row r="4" spans="1:4">
      <c r="A4" t="s">
        <v>1195</v>
      </c>
      <c r="B4" s="148">
        <v>60000</v>
      </c>
      <c r="C4" s="148" t="s">
        <v>1196</v>
      </c>
      <c r="D4" t="s">
        <v>1179</v>
      </c>
    </row>
    <row r="5" spans="1:4" ht="14.1">
      <c r="A5" s="765" t="s">
        <v>1197</v>
      </c>
      <c r="B5" s="148">
        <v>30000</v>
      </c>
      <c r="C5" s="148" t="s">
        <v>1196</v>
      </c>
      <c r="D5" t="s">
        <v>1198</v>
      </c>
    </row>
    <row r="6" spans="1:4">
      <c r="A6" t="s">
        <v>1199</v>
      </c>
      <c r="B6" s="148">
        <v>-26000</v>
      </c>
      <c r="C6" s="148" t="s">
        <v>1200</v>
      </c>
      <c r="D6" t="s">
        <v>1201</v>
      </c>
    </row>
    <row r="7" spans="1:4">
      <c r="A7" t="s">
        <v>1202</v>
      </c>
      <c r="B7" s="148">
        <v>400000</v>
      </c>
      <c r="C7" s="148" t="s">
        <v>1203</v>
      </c>
      <c r="D7" t="s">
        <v>1204</v>
      </c>
    </row>
    <row r="8" spans="1:4">
      <c r="A8" t="s">
        <v>1205</v>
      </c>
      <c r="B8" s="148">
        <v>-80000</v>
      </c>
      <c r="C8" s="148" t="s">
        <v>1206</v>
      </c>
      <c r="D8" t="s">
        <v>1207</v>
      </c>
    </row>
    <row r="9" spans="1:4">
      <c r="A9" t="s">
        <v>1208</v>
      </c>
      <c r="B9" s="148">
        <v>-33000</v>
      </c>
      <c r="C9" s="148" t="s">
        <v>1209</v>
      </c>
      <c r="D9" t="s">
        <v>361</v>
      </c>
    </row>
    <row r="10" spans="1:4">
      <c r="A10" t="s">
        <v>1210</v>
      </c>
      <c r="B10" s="148">
        <v>80000</v>
      </c>
      <c r="C10" s="148" t="s">
        <v>1196</v>
      </c>
      <c r="D10" t="s">
        <v>1211</v>
      </c>
    </row>
    <row r="11" spans="1:4">
      <c r="A11" t="s">
        <v>1212</v>
      </c>
      <c r="B11" s="148">
        <v>22000</v>
      </c>
      <c r="C11" s="148" t="s">
        <v>1196</v>
      </c>
      <c r="D11" t="s">
        <v>1213</v>
      </c>
    </row>
    <row r="12" spans="1:4">
      <c r="A12" t="s">
        <v>1214</v>
      </c>
      <c r="B12" s="148">
        <v>8000</v>
      </c>
      <c r="C12" s="148" t="s">
        <v>1196</v>
      </c>
    </row>
    <row r="13" spans="1:4">
      <c r="A13" t="s">
        <v>440</v>
      </c>
      <c r="B13" s="148">
        <v>4000</v>
      </c>
      <c r="C13" s="148" t="s">
        <v>1196</v>
      </c>
    </row>
    <row r="14" spans="1:4">
      <c r="A14" t="s">
        <v>1215</v>
      </c>
      <c r="B14" s="148">
        <v>2500</v>
      </c>
      <c r="C14" s="148" t="s">
        <v>1196</v>
      </c>
    </row>
    <row r="15" spans="1:4">
      <c r="A15" t="s">
        <v>1216</v>
      </c>
      <c r="B15" s="148">
        <v>-25000</v>
      </c>
      <c r="C15" s="148" t="s">
        <v>1217</v>
      </c>
    </row>
    <row r="16" spans="1:4" ht="27.95">
      <c r="A16" s="765" t="s">
        <v>1218</v>
      </c>
      <c r="B16" s="148">
        <v>10000</v>
      </c>
      <c r="C16" s="148" t="s">
        <v>1219</v>
      </c>
    </row>
    <row r="17" spans="1:3">
      <c r="A17" t="s">
        <v>1220</v>
      </c>
      <c r="C17" s="148" t="s">
        <v>1219</v>
      </c>
    </row>
    <row r="18" spans="1:3">
      <c r="A18" t="s">
        <v>1221</v>
      </c>
      <c r="C18" s="148" t="s">
        <v>1222</v>
      </c>
    </row>
    <row r="19" spans="1:3">
      <c r="A19" t="s">
        <v>1223</v>
      </c>
    </row>
    <row r="20" spans="1:3">
      <c r="A20" t="s">
        <v>1224</v>
      </c>
    </row>
    <row r="21" spans="1:3">
      <c r="A21" t="s">
        <v>1225</v>
      </c>
      <c r="B21" s="148">
        <v>-74000</v>
      </c>
      <c r="C21" s="148" t="s">
        <v>1226</v>
      </c>
    </row>
    <row r="22" spans="1:3">
      <c r="A22" t="s">
        <v>1227</v>
      </c>
    </row>
    <row r="23" spans="1:3">
      <c r="A23" t="s">
        <v>1228</v>
      </c>
    </row>
    <row r="32" spans="1:3">
      <c r="A32" t="s">
        <v>1229</v>
      </c>
    </row>
    <row r="33" spans="1:4" ht="15">
      <c r="A33" s="1" t="s">
        <v>1230</v>
      </c>
      <c r="B33" s="1"/>
      <c r="C33" s="1"/>
      <c r="D33" s="1"/>
    </row>
    <row r="34" spans="1:4" ht="15">
      <c r="A34" s="1" t="s">
        <v>1231</v>
      </c>
      <c r="B34" s="1"/>
      <c r="C34" s="1"/>
      <c r="D34" s="1"/>
    </row>
    <row r="35" spans="1:4" ht="15">
      <c r="A35" s="1" t="s">
        <v>1232</v>
      </c>
      <c r="B35" s="1"/>
      <c r="C35" s="1"/>
      <c r="D35" s="1"/>
    </row>
    <row r="36" spans="1:4" ht="15">
      <c r="A36" s="1" t="s">
        <v>1233</v>
      </c>
      <c r="B36" s="1"/>
      <c r="C36" s="1"/>
      <c r="D36" s="1"/>
    </row>
    <row r="37" spans="1:4" ht="15.95">
      <c r="A37" s="782" t="s">
        <v>1234</v>
      </c>
      <c r="B37" s="1"/>
      <c r="C37" s="1"/>
      <c r="D37" s="1"/>
    </row>
    <row r="38" spans="1:4" ht="15.95">
      <c r="A38" s="782" t="s">
        <v>1235</v>
      </c>
      <c r="B38" s="1" t="s">
        <v>1236</v>
      </c>
      <c r="C38" s="1" t="s">
        <v>1237</v>
      </c>
      <c r="D38" s="782" t="s">
        <v>1238</v>
      </c>
    </row>
    <row r="39" spans="1:4" ht="15">
      <c r="A39" s="1" t="s">
        <v>1239</v>
      </c>
      <c r="B39" s="1"/>
      <c r="C39" s="1"/>
      <c r="D39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9E303FB22BCA4AAA2B46031BF7B15E" ma:contentTypeVersion="12" ma:contentTypeDescription="Create a new document." ma:contentTypeScope="" ma:versionID="92f78e38aee4065e9de00b7fe471d092">
  <xsd:schema xmlns:xsd="http://www.w3.org/2001/XMLSchema" xmlns:xs="http://www.w3.org/2001/XMLSchema" xmlns:p="http://schemas.microsoft.com/office/2006/metadata/properties" xmlns:ns2="d3356072-1cf8-49b3-b9d8-f78fd628fd06" xmlns:ns3="ed2d66fa-abdf-4b6a-8182-b10dacac10f1" targetNamespace="http://schemas.microsoft.com/office/2006/metadata/properties" ma:root="true" ma:fieldsID="bfe1d5b57d050ae92271ad04d09bf680" ns2:_="" ns3:_="">
    <xsd:import namespace="d3356072-1cf8-49b3-b9d8-f78fd628fd06"/>
    <xsd:import namespace="ed2d66fa-abdf-4b6a-8182-b10dacac10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56072-1cf8-49b3-b9d8-f78fd628f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7145591-106c-43c7-9160-e8e8b393ec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d66fa-abdf-4b6a-8182-b10dacac10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fd2be0b-f146-4149-9e6e-a1c86d38860f}" ma:internalName="TaxCatchAll" ma:showField="CatchAllData" ma:web="ed2d66fa-abdf-4b6a-8182-b10dacac10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2d66fa-abdf-4b6a-8182-b10dacac10f1" xsi:nil="true"/>
    <lcf76f155ced4ddcb4097134ff3c332f xmlns="d3356072-1cf8-49b3-b9d8-f78fd628fd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4739A9-C367-4152-909F-F4E44385B839}"/>
</file>

<file path=customXml/itemProps2.xml><?xml version="1.0" encoding="utf-8"?>
<ds:datastoreItem xmlns:ds="http://schemas.openxmlformats.org/officeDocument/2006/customXml" ds:itemID="{B9CDCD15-8CA8-46D8-9F29-AB84D9E7264F}"/>
</file>

<file path=customXml/itemProps3.xml><?xml version="1.0" encoding="utf-8"?>
<ds:datastoreItem xmlns:ds="http://schemas.openxmlformats.org/officeDocument/2006/customXml" ds:itemID="{C81ABEA2-FA26-46BA-9D8D-D9C237B3FC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AMS</dc:creator>
  <cp:keywords/>
  <dc:description/>
  <cp:lastModifiedBy>Gagan Parmar</cp:lastModifiedBy>
  <cp:revision/>
  <dcterms:created xsi:type="dcterms:W3CDTF">2021-04-21T01:02:49Z</dcterms:created>
  <dcterms:modified xsi:type="dcterms:W3CDTF">2025-04-12T01:13:03Z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0x0101007D9E303FB22BCA4AAA2B46031BF7B15E</vt:lpwstr>
  </property>
  <property fmtid="{D5CDD505-2E9C-101B-9397-08002B2CF9AE}" pid="3" name="Jet Reports Function Literals">
    <vt:lpwstr>, ; , { } [@[{0}]] 1033</vt:lpwstr>
  </property>
  <property fmtid="{D5CDD505-2E9C-101B-9397-08002B2CF9AE}" pid="4" name="MediaServiceImageTags">
    <vt:lpwstr/>
  </property>
  <property fmtid="{D5CDD505-2E9C-101B-9397-08002B2CF9AE}" pid="5" name="Order">
    <vt:r8>174300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